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Users\jesus.moralesb\Desktop\RESPALDO\Rich\Pagina web\Documentos\2024\MARZO\13\"/>
    </mc:Choice>
  </mc:AlternateContent>
  <bookViews>
    <workbookView xWindow="0" yWindow="0" windowWidth="20490" windowHeight="7650" tabRatio="810"/>
  </bookViews>
  <sheets>
    <sheet name="Simulador Piramide-Salarios" sheetId="16" r:id="rId1"/>
    <sheet name="Matriz de impacto" sheetId="18" r:id="rId2"/>
    <sheet name="JERARQUIZACIÓN TERCIARÍA" sheetId="19" r:id="rId3"/>
    <sheet name="GASTOS NÓMINA" sheetId="20" r:id="rId4"/>
  </sheets>
  <externalReferences>
    <externalReference r:id="rId5"/>
  </externalReferences>
  <definedNames>
    <definedName name="_xlnm._FilterDatabase" localSheetId="1" hidden="1">'Matriz de impacto'!$A$11:$Q$115</definedName>
    <definedName name="_xlnm._FilterDatabase" localSheetId="0" hidden="1">'Simulador Piramide-Salarios'!$F$91:$J$95</definedName>
    <definedName name="_xlnm.Print_Area" localSheetId="1">'Matriz de impacto'!$A$1:$Q$124</definedName>
    <definedName name="_xlnm.Print_Area" localSheetId="0">'Simulador Piramide-Salarios'!$A$1:$S$145</definedName>
    <definedName name="GRADO" localSheetId="3">'[1]Matriz de impacto'!#REF!</definedName>
    <definedName name="GRADO" localSheetId="1">'Matriz de impacto'!$E$127:$E$141</definedName>
    <definedName name="GRADO">'Matriz de impacto'!#REF!</definedName>
    <definedName name="OLE_LINK1" localSheetId="1">'Matriz de impacto'!#REF!</definedName>
    <definedName name="_xlnm.Print_Titles" localSheetId="1">'Matriz de impacto'!$1:$11</definedName>
    <definedName name="_xlnm.Print_Titles" localSheetId="0">'Simulador Piramide-Salarios'!$1:$7</definedName>
  </definedNames>
  <calcPr calcId="152511" fullCalcOnLoad="1"/>
  <pivotCaches>
    <pivotCache cacheId="0" r:id="rId6"/>
  </pivotCaches>
</workbook>
</file>

<file path=xl/calcChain.xml><?xml version="1.0" encoding="utf-8"?>
<calcChain xmlns="http://schemas.openxmlformats.org/spreadsheetml/2006/main">
  <c r="J111" i="18" l="1"/>
  <c r="H111" i="18"/>
  <c r="G111" i="18"/>
  <c r="J110" i="18"/>
  <c r="H110" i="18"/>
  <c r="N110" i="18" s="1"/>
  <c r="G110" i="18"/>
  <c r="J109" i="18"/>
  <c r="K109" i="18" s="1"/>
  <c r="M109" i="18" s="1"/>
  <c r="H109" i="18"/>
  <c r="G109" i="18"/>
  <c r="J108" i="18"/>
  <c r="H108" i="18"/>
  <c r="G108" i="18"/>
  <c r="J107" i="18"/>
  <c r="H107" i="18"/>
  <c r="G107" i="18"/>
  <c r="J106" i="18"/>
  <c r="H106" i="18"/>
  <c r="G106" i="18"/>
  <c r="J105" i="18"/>
  <c r="H105" i="18"/>
  <c r="G105" i="18"/>
  <c r="J104" i="18"/>
  <c r="H104" i="18"/>
  <c r="N104" i="18" s="1"/>
  <c r="G104" i="18"/>
  <c r="J103" i="18"/>
  <c r="H103" i="18"/>
  <c r="G103" i="18"/>
  <c r="J102" i="18"/>
  <c r="H102" i="18"/>
  <c r="N102" i="18" s="1"/>
  <c r="G102" i="18"/>
  <c r="J101" i="18"/>
  <c r="H101" i="18"/>
  <c r="G101" i="18"/>
  <c r="J100" i="18"/>
  <c r="H100" i="18"/>
  <c r="G100" i="18"/>
  <c r="J99" i="18"/>
  <c r="H99" i="18"/>
  <c r="N99" i="18" s="1"/>
  <c r="G99" i="18"/>
  <c r="J98" i="18"/>
  <c r="K98" i="18" s="1"/>
  <c r="H98" i="18"/>
  <c r="G98" i="18"/>
  <c r="J97" i="18"/>
  <c r="H97" i="18"/>
  <c r="G97" i="18"/>
  <c r="J96" i="18"/>
  <c r="H96" i="18"/>
  <c r="N96" i="18" s="1"/>
  <c r="G96" i="18"/>
  <c r="J95" i="18"/>
  <c r="H95" i="18"/>
  <c r="G95" i="18"/>
  <c r="J94" i="18"/>
  <c r="N94" i="18" s="1"/>
  <c r="H94" i="18"/>
  <c r="G94" i="18"/>
  <c r="J93" i="18"/>
  <c r="H93" i="18"/>
  <c r="G93" i="18"/>
  <c r="J92" i="18"/>
  <c r="H92" i="18"/>
  <c r="G92" i="18"/>
  <c r="J91" i="18"/>
  <c r="H91" i="18"/>
  <c r="G91" i="18"/>
  <c r="J90" i="18"/>
  <c r="H90" i="18"/>
  <c r="G90" i="18"/>
  <c r="J89" i="18"/>
  <c r="H89" i="18"/>
  <c r="N89" i="18" s="1"/>
  <c r="G89" i="18"/>
  <c r="J88" i="18"/>
  <c r="H88" i="18"/>
  <c r="N88" i="18"/>
  <c r="G88" i="18"/>
  <c r="J87" i="18"/>
  <c r="H87" i="18"/>
  <c r="G87" i="18"/>
  <c r="J86" i="18"/>
  <c r="H86" i="18"/>
  <c r="G86" i="18"/>
  <c r="J85" i="18"/>
  <c r="H85" i="18"/>
  <c r="G85" i="18"/>
  <c r="J84" i="18"/>
  <c r="H84" i="18"/>
  <c r="K84" i="18" s="1"/>
  <c r="G84" i="18"/>
  <c r="J83" i="18"/>
  <c r="H83" i="18"/>
  <c r="G83" i="18"/>
  <c r="J82" i="18"/>
  <c r="N82" i="18" s="1"/>
  <c r="H82" i="18"/>
  <c r="G82" i="18"/>
  <c r="J81" i="18"/>
  <c r="H81" i="18"/>
  <c r="G81" i="18"/>
  <c r="J80" i="18"/>
  <c r="H80" i="18"/>
  <c r="G80" i="18"/>
  <c r="J79" i="18"/>
  <c r="H79" i="18"/>
  <c r="K79" i="18" s="1"/>
  <c r="L79" i="18" s="1"/>
  <c r="Q79" i="18" s="1"/>
  <c r="G79" i="18"/>
  <c r="J78" i="18"/>
  <c r="H78" i="18"/>
  <c r="G78" i="18"/>
  <c r="J77" i="18"/>
  <c r="K77" i="18" s="1"/>
  <c r="H77" i="18"/>
  <c r="G77" i="18"/>
  <c r="J76" i="18"/>
  <c r="H76" i="18"/>
  <c r="G76" i="18"/>
  <c r="J75" i="18"/>
  <c r="H75" i="18"/>
  <c r="G75" i="18"/>
  <c r="J74" i="18"/>
  <c r="H74" i="18"/>
  <c r="K74" i="18" s="1"/>
  <c r="G74" i="18"/>
  <c r="J73" i="18"/>
  <c r="H73" i="18"/>
  <c r="G73" i="18"/>
  <c r="J72" i="18"/>
  <c r="H72" i="18"/>
  <c r="G72" i="18"/>
  <c r="J71" i="18"/>
  <c r="N71" i="18" s="1"/>
  <c r="H71" i="18"/>
  <c r="G71" i="18"/>
  <c r="J70" i="18"/>
  <c r="H70" i="18"/>
  <c r="G70" i="18"/>
  <c r="J69" i="18"/>
  <c r="H69" i="18"/>
  <c r="K69" i="18" s="1"/>
  <c r="G69" i="18"/>
  <c r="J68" i="18"/>
  <c r="H68" i="18"/>
  <c r="G68" i="18"/>
  <c r="J67" i="18"/>
  <c r="H67" i="18"/>
  <c r="G67" i="18"/>
  <c r="J66" i="18"/>
  <c r="N66" i="18" s="1"/>
  <c r="H66" i="18"/>
  <c r="G66" i="18"/>
  <c r="J65" i="18"/>
  <c r="H65" i="18"/>
  <c r="G65" i="18"/>
  <c r="J64" i="18"/>
  <c r="H64" i="18"/>
  <c r="G64" i="18"/>
  <c r="J63" i="18"/>
  <c r="H63" i="18"/>
  <c r="G63" i="18"/>
  <c r="J62" i="18"/>
  <c r="H62" i="18"/>
  <c r="G62" i="18"/>
  <c r="J61" i="18"/>
  <c r="H61" i="18"/>
  <c r="N61" i="18" s="1"/>
  <c r="G61" i="18"/>
  <c r="J60" i="18"/>
  <c r="H60" i="18"/>
  <c r="G60" i="18"/>
  <c r="J59" i="18"/>
  <c r="H59" i="18"/>
  <c r="G59" i="18"/>
  <c r="J58" i="18"/>
  <c r="N58" i="18" s="1"/>
  <c r="H58" i="18"/>
  <c r="G58" i="18"/>
  <c r="J57" i="18"/>
  <c r="H57" i="18"/>
  <c r="G57" i="18"/>
  <c r="J56" i="18"/>
  <c r="H56" i="18"/>
  <c r="G56" i="18"/>
  <c r="J55" i="18"/>
  <c r="H55" i="18"/>
  <c r="G55" i="18"/>
  <c r="J54" i="18"/>
  <c r="H54" i="18"/>
  <c r="G54" i="18"/>
  <c r="J53" i="18"/>
  <c r="H53" i="18"/>
  <c r="K53" i="18" s="1"/>
  <c r="L53" i="18" s="1"/>
  <c r="Q53" i="18" s="1"/>
  <c r="G53" i="18"/>
  <c r="J52" i="18"/>
  <c r="H52" i="18"/>
  <c r="N52" i="18"/>
  <c r="G52" i="18"/>
  <c r="J51" i="18"/>
  <c r="H51" i="18"/>
  <c r="G51" i="18"/>
  <c r="J50" i="18"/>
  <c r="H50" i="18"/>
  <c r="N50" i="18" s="1"/>
  <c r="G50" i="18"/>
  <c r="J49" i="18"/>
  <c r="H49" i="18"/>
  <c r="G49" i="18"/>
  <c r="J48" i="18"/>
  <c r="K48" i="18" s="1"/>
  <c r="L48" i="18" s="1"/>
  <c r="Q48" i="18" s="1"/>
  <c r="H48" i="18"/>
  <c r="G48" i="18"/>
  <c r="J47" i="18"/>
  <c r="H47" i="18"/>
  <c r="G47" i="18"/>
  <c r="J46" i="18"/>
  <c r="H46" i="18"/>
  <c r="G46" i="18"/>
  <c r="J45" i="18"/>
  <c r="H45" i="18"/>
  <c r="G45" i="18"/>
  <c r="J44" i="18"/>
  <c r="H44" i="18"/>
  <c r="G44" i="18"/>
  <c r="J43" i="18"/>
  <c r="H43" i="18"/>
  <c r="K43" i="18" s="1"/>
  <c r="G43" i="18"/>
  <c r="J42" i="18"/>
  <c r="H42" i="18"/>
  <c r="G42" i="18"/>
  <c r="J41" i="18"/>
  <c r="H41" i="18"/>
  <c r="G41" i="18"/>
  <c r="J40" i="18"/>
  <c r="H40" i="18"/>
  <c r="G40" i="18"/>
  <c r="J39" i="18"/>
  <c r="H39" i="18"/>
  <c r="G39" i="18"/>
  <c r="J38" i="18"/>
  <c r="H38" i="18"/>
  <c r="G38" i="18"/>
  <c r="J37" i="18"/>
  <c r="H37" i="18"/>
  <c r="G37" i="18"/>
  <c r="J36" i="18"/>
  <c r="H36" i="18"/>
  <c r="G36" i="18"/>
  <c r="J35" i="18"/>
  <c r="H35" i="18"/>
  <c r="K35" i="18" s="1"/>
  <c r="G35" i="18"/>
  <c r="J34" i="18"/>
  <c r="H34" i="18"/>
  <c r="G34" i="18"/>
  <c r="J33" i="18"/>
  <c r="H33" i="18"/>
  <c r="G33" i="18"/>
  <c r="J32" i="18"/>
  <c r="K32" i="18" s="1"/>
  <c r="H32" i="18"/>
  <c r="G32" i="18"/>
  <c r="J31" i="18"/>
  <c r="H31" i="18"/>
  <c r="G31" i="18"/>
  <c r="J30" i="18"/>
  <c r="H30" i="18"/>
  <c r="G30" i="18"/>
  <c r="J29" i="18"/>
  <c r="K29" i="18" s="1"/>
  <c r="H29" i="18"/>
  <c r="G29" i="18"/>
  <c r="J28" i="18"/>
  <c r="H28" i="18"/>
  <c r="G28" i="18"/>
  <c r="J27" i="18"/>
  <c r="K27" i="18" s="1"/>
  <c r="M27" i="18" s="1"/>
  <c r="H27" i="18"/>
  <c r="G27" i="18"/>
  <c r="J26" i="18"/>
  <c r="H26" i="18"/>
  <c r="G26" i="18"/>
  <c r="J25" i="18"/>
  <c r="H25" i="18"/>
  <c r="G25" i="18"/>
  <c r="J24" i="18"/>
  <c r="H24" i="18"/>
  <c r="G24" i="18"/>
  <c r="J23" i="18"/>
  <c r="H23" i="18"/>
  <c r="G23" i="18"/>
  <c r="J22" i="18"/>
  <c r="H22" i="18"/>
  <c r="K22" i="18" s="1"/>
  <c r="G22" i="18"/>
  <c r="J21" i="18"/>
  <c r="K21" i="18" s="1"/>
  <c r="H21" i="18"/>
  <c r="G21" i="18"/>
  <c r="J20" i="18"/>
  <c r="H20" i="18"/>
  <c r="N20" i="18"/>
  <c r="G20" i="18"/>
  <c r="J19" i="18"/>
  <c r="H19" i="18"/>
  <c r="G19" i="18"/>
  <c r="J18" i="18"/>
  <c r="H18" i="18"/>
  <c r="N18" i="18" s="1"/>
  <c r="G18" i="18"/>
  <c r="J17" i="18"/>
  <c r="H17" i="18"/>
  <c r="G17" i="18"/>
  <c r="J16" i="18"/>
  <c r="K16" i="18" s="1"/>
  <c r="H16" i="18"/>
  <c r="G16" i="18"/>
  <c r="J15" i="18"/>
  <c r="N15" i="18" s="1"/>
  <c r="H15" i="18"/>
  <c r="G15" i="18"/>
  <c r="J14" i="18"/>
  <c r="H14" i="18"/>
  <c r="G14" i="18"/>
  <c r="J13" i="18"/>
  <c r="K13" i="18" s="1"/>
  <c r="H13" i="18"/>
  <c r="H113" i="18" s="1"/>
  <c r="G13" i="18"/>
  <c r="L8" i="18"/>
  <c r="H12" i="18"/>
  <c r="G12" i="18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Q114" i="18"/>
  <c r="D8" i="18"/>
  <c r="D7" i="18"/>
  <c r="I109" i="16"/>
  <c r="G57" i="16"/>
  <c r="Q36" i="16"/>
  <c r="Q23" i="16"/>
  <c r="F24" i="16"/>
  <c r="N91" i="16"/>
  <c r="L29" i="16"/>
  <c r="P12" i="16"/>
  <c r="F41" i="16"/>
  <c r="G108" i="16"/>
  <c r="P34" i="16"/>
  <c r="P38" i="16" s="1"/>
  <c r="N55" i="19" s="1"/>
  <c r="O32" i="16"/>
  <c r="O34" i="16"/>
  <c r="O38" i="16"/>
  <c r="M55" i="19"/>
  <c r="N31" i="16"/>
  <c r="M30" i="16"/>
  <c r="M34" i="16" s="1"/>
  <c r="M38" i="16" s="1"/>
  <c r="K55" i="19" s="1"/>
  <c r="K28" i="16"/>
  <c r="J27" i="16"/>
  <c r="I26" i="16"/>
  <c r="H25" i="16"/>
  <c r="G24" i="16"/>
  <c r="Q24" i="16" s="1"/>
  <c r="N20" i="16"/>
  <c r="N32" i="16" s="1"/>
  <c r="N34" i="16" s="1"/>
  <c r="N38" i="16" s="1"/>
  <c r="L55" i="19" s="1"/>
  <c r="M19" i="16"/>
  <c r="M31" i="16"/>
  <c r="L18" i="16"/>
  <c r="L19" i="16" s="1"/>
  <c r="K17" i="16"/>
  <c r="K18" i="16" s="1"/>
  <c r="J16" i="16"/>
  <c r="O6" i="16"/>
  <c r="F13" i="16"/>
  <c r="F14" i="16" s="1"/>
  <c r="G13" i="16"/>
  <c r="H14" i="16"/>
  <c r="H26" i="16"/>
  <c r="I15" i="16"/>
  <c r="I16" i="16"/>
  <c r="I28" i="16" s="1"/>
  <c r="Q49" i="16"/>
  <c r="Q47" i="16"/>
  <c r="Q42" i="16" s="1"/>
  <c r="M20" i="16"/>
  <c r="M32" i="16"/>
  <c r="H15" i="16"/>
  <c r="H27" i="16" s="1"/>
  <c r="L30" i="16"/>
  <c r="J17" i="16"/>
  <c r="J29" i="16" s="1"/>
  <c r="J28" i="16"/>
  <c r="J18" i="16"/>
  <c r="J30" i="16" s="1"/>
  <c r="H16" i="16"/>
  <c r="H28" i="16" s="1"/>
  <c r="I27" i="16"/>
  <c r="P13" i="16"/>
  <c r="F42" i="16" s="1"/>
  <c r="F25" i="16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H57" i="16"/>
  <c r="O101" i="16" s="1"/>
  <c r="P101" i="16" s="1"/>
  <c r="G58" i="16"/>
  <c r="G78" i="16" s="1"/>
  <c r="G77" i="16"/>
  <c r="J12" i="18"/>
  <c r="N12" i="18" s="1"/>
  <c r="H58" i="16"/>
  <c r="H78" i="16" s="1"/>
  <c r="N80" i="16" s="1"/>
  <c r="P80" i="16" s="1"/>
  <c r="H77" i="16"/>
  <c r="G14" i="16"/>
  <c r="G15" i="16" s="1"/>
  <c r="G25" i="16"/>
  <c r="G26" i="16"/>
  <c r="K108" i="18"/>
  <c r="K105" i="18"/>
  <c r="N38" i="18"/>
  <c r="N46" i="18"/>
  <c r="N62" i="18"/>
  <c r="N70" i="18"/>
  <c r="N78" i="18"/>
  <c r="K76" i="18"/>
  <c r="L76" i="18" s="1"/>
  <c r="Q76" i="18" s="1"/>
  <c r="K63" i="18"/>
  <c r="K34" i="18"/>
  <c r="K82" i="18"/>
  <c r="K87" i="18"/>
  <c r="L87" i="18" s="1"/>
  <c r="Q87" i="18" s="1"/>
  <c r="K95" i="18"/>
  <c r="K103" i="18"/>
  <c r="L103" i="18" s="1"/>
  <c r="Q103" i="18" s="1"/>
  <c r="K17" i="18"/>
  <c r="M17" i="18"/>
  <c r="N30" i="18"/>
  <c r="K59" i="18"/>
  <c r="L59" i="18" s="1"/>
  <c r="Q59" i="18" s="1"/>
  <c r="K85" i="18"/>
  <c r="K18" i="18"/>
  <c r="L18" i="18"/>
  <c r="Q18" i="18"/>
  <c r="K23" i="18"/>
  <c r="M23" i="18"/>
  <c r="K31" i="18"/>
  <c r="L31" i="18"/>
  <c r="Q31" i="18" s="1"/>
  <c r="K39" i="18"/>
  <c r="M39" i="18"/>
  <c r="N42" i="18"/>
  <c r="K81" i="18"/>
  <c r="L81" i="18"/>
  <c r="Q81" i="18" s="1"/>
  <c r="K49" i="18"/>
  <c r="K75" i="18"/>
  <c r="K57" i="18"/>
  <c r="L57" i="18"/>
  <c r="Q57" i="18" s="1"/>
  <c r="N84" i="18"/>
  <c r="K51" i="18"/>
  <c r="M51" i="18"/>
  <c r="K64" i="18"/>
  <c r="K93" i="18"/>
  <c r="M93" i="18"/>
  <c r="K41" i="18"/>
  <c r="L41" i="18" s="1"/>
  <c r="Q41" i="18" s="1"/>
  <c r="K67" i="18"/>
  <c r="L67" i="18"/>
  <c r="Q67" i="18" s="1"/>
  <c r="N24" i="18"/>
  <c r="N74" i="18"/>
  <c r="K80" i="18"/>
  <c r="M80" i="18"/>
  <c r="K44" i="18"/>
  <c r="L44" i="18"/>
  <c r="Q44" i="18"/>
  <c r="N14" i="18"/>
  <c r="N56" i="18"/>
  <c r="N106" i="18"/>
  <c r="Q25" i="16"/>
  <c r="N34" i="18"/>
  <c r="K47" i="18"/>
  <c r="L47" i="18"/>
  <c r="Q47" i="18"/>
  <c r="K60" i="18"/>
  <c r="M60" i="18" s="1"/>
  <c r="K65" i="18"/>
  <c r="M65" i="18" s="1"/>
  <c r="N98" i="18"/>
  <c r="K111" i="18"/>
  <c r="L111" i="18"/>
  <c r="Q111" i="18"/>
  <c r="K19" i="18"/>
  <c r="M19" i="18" s="1"/>
  <c r="N22" i="18"/>
  <c r="K37" i="18"/>
  <c r="L37" i="18"/>
  <c r="Q37" i="18" s="1"/>
  <c r="N40" i="18"/>
  <c r="K45" i="18"/>
  <c r="L45" i="18"/>
  <c r="Q45" i="18" s="1"/>
  <c r="K50" i="18"/>
  <c r="L50" i="18"/>
  <c r="Q50" i="18"/>
  <c r="K55" i="18"/>
  <c r="L55" i="18"/>
  <c r="Q55" i="18" s="1"/>
  <c r="N68" i="18"/>
  <c r="K73" i="18"/>
  <c r="L73" i="18"/>
  <c r="Q73" i="18"/>
  <c r="K83" i="18"/>
  <c r="L83" i="18"/>
  <c r="Q83" i="18" s="1"/>
  <c r="N86" i="18"/>
  <c r="K91" i="18"/>
  <c r="M91" i="18"/>
  <c r="K96" i="18"/>
  <c r="L96" i="18"/>
  <c r="Q96" i="18" s="1"/>
  <c r="K101" i="18"/>
  <c r="M101" i="18" s="1"/>
  <c r="K66" i="18"/>
  <c r="L66" i="18" s="1"/>
  <c r="Q66" i="18" s="1"/>
  <c r="K107" i="18"/>
  <c r="L107" i="18"/>
  <c r="Q107" i="18" s="1"/>
  <c r="K15" i="18"/>
  <c r="L15" i="18" s="1"/>
  <c r="Q15" i="18" s="1"/>
  <c r="K28" i="18"/>
  <c r="L28" i="18"/>
  <c r="Q28" i="18"/>
  <c r="K33" i="18"/>
  <c r="M33" i="18" s="1"/>
  <c r="N64" i="18"/>
  <c r="K92" i="18"/>
  <c r="L92" i="18"/>
  <c r="Q92" i="18"/>
  <c r="K97" i="18"/>
  <c r="K25" i="18"/>
  <c r="L25" i="18" s="1"/>
  <c r="Q25" i="18" s="1"/>
  <c r="K99" i="18"/>
  <c r="L99" i="18" s="1"/>
  <c r="Q99" i="18" s="1"/>
  <c r="N26" i="18"/>
  <c r="N36" i="18"/>
  <c r="N54" i="18"/>
  <c r="N72" i="18"/>
  <c r="N90" i="18"/>
  <c r="N100" i="18"/>
  <c r="N16" i="18"/>
  <c r="N80" i="18"/>
  <c r="K26" i="18"/>
  <c r="M26" i="18" s="1"/>
  <c r="K106" i="18"/>
  <c r="L106" i="18"/>
  <c r="Q106" i="18" s="1"/>
  <c r="K40" i="18"/>
  <c r="L40" i="18" s="1"/>
  <c r="Q40" i="18" s="1"/>
  <c r="K72" i="18"/>
  <c r="M72" i="18"/>
  <c r="K86" i="18"/>
  <c r="M86" i="18" s="1"/>
  <c r="K20" i="18"/>
  <c r="M20" i="18" s="1"/>
  <c r="K36" i="18"/>
  <c r="M36" i="18"/>
  <c r="K52" i="18"/>
  <c r="L52" i="18" s="1"/>
  <c r="Q52" i="18" s="1"/>
  <c r="K68" i="18"/>
  <c r="L68" i="18"/>
  <c r="Q68" i="18" s="1"/>
  <c r="K100" i="18"/>
  <c r="L100" i="18"/>
  <c r="Q100" i="18" s="1"/>
  <c r="K88" i="18"/>
  <c r="M88" i="18"/>
  <c r="K54" i="18"/>
  <c r="L54" i="18"/>
  <c r="Q54" i="18" s="1"/>
  <c r="N28" i="18"/>
  <c r="K90" i="18"/>
  <c r="L90" i="18"/>
  <c r="Q90" i="18"/>
  <c r="N108" i="18"/>
  <c r="K56" i="18"/>
  <c r="L56" i="18"/>
  <c r="Q56" i="18" s="1"/>
  <c r="K102" i="18"/>
  <c r="L102" i="18"/>
  <c r="Q102" i="18" s="1"/>
  <c r="K42" i="18"/>
  <c r="L42" i="18" s="1"/>
  <c r="Q42" i="18" s="1"/>
  <c r="N44" i="18"/>
  <c r="N60" i="18"/>
  <c r="N76" i="18"/>
  <c r="N92" i="18"/>
  <c r="K24" i="18"/>
  <c r="M24" i="18"/>
  <c r="K38" i="18"/>
  <c r="M38" i="18"/>
  <c r="K70" i="18"/>
  <c r="M70" i="18"/>
  <c r="K14" i="18"/>
  <c r="M14" i="18"/>
  <c r="K30" i="18"/>
  <c r="K46" i="18"/>
  <c r="M46" i="18" s="1"/>
  <c r="K62" i="18"/>
  <c r="L62" i="18" s="1"/>
  <c r="Q62" i="18" s="1"/>
  <c r="K78" i="18"/>
  <c r="M78" i="18"/>
  <c r="K110" i="18"/>
  <c r="L110" i="18"/>
  <c r="Q110" i="18" s="1"/>
  <c r="N17" i="18"/>
  <c r="N19" i="18"/>
  <c r="N21" i="18"/>
  <c r="N23" i="18"/>
  <c r="N25" i="18"/>
  <c r="N29" i="18"/>
  <c r="N31" i="18"/>
  <c r="N33" i="18"/>
  <c r="N37" i="18"/>
  <c r="N39" i="18"/>
  <c r="N41" i="18"/>
  <c r="N45" i="18"/>
  <c r="N47" i="18"/>
  <c r="N49" i="18"/>
  <c r="N51" i="18"/>
  <c r="N53" i="18"/>
  <c r="N55" i="18"/>
  <c r="N57" i="18"/>
  <c r="N59" i="18"/>
  <c r="N63" i="18"/>
  <c r="N65" i="18"/>
  <c r="N67" i="18"/>
  <c r="N69" i="18"/>
  <c r="N73" i="18"/>
  <c r="N75" i="18"/>
  <c r="N77" i="18"/>
  <c r="N81" i="18"/>
  <c r="N83" i="18"/>
  <c r="N85" i="18"/>
  <c r="N87" i="18"/>
  <c r="N91" i="18"/>
  <c r="N93" i="18"/>
  <c r="N95" i="18"/>
  <c r="N97" i="18"/>
  <c r="N101" i="18"/>
  <c r="N103" i="18"/>
  <c r="N105" i="18"/>
  <c r="N107" i="18"/>
  <c r="N111" i="18"/>
  <c r="L14" i="18"/>
  <c r="Q14" i="18" s="1"/>
  <c r="M28" i="18"/>
  <c r="L82" i="18"/>
  <c r="Q82" i="18"/>
  <c r="M82" i="18"/>
  <c r="M96" i="18"/>
  <c r="L30" i="18"/>
  <c r="Q30" i="18"/>
  <c r="M30" i="18"/>
  <c r="L34" i="18"/>
  <c r="Q34" i="18" s="1"/>
  <c r="M34" i="18"/>
  <c r="L64" i="18"/>
  <c r="Q64" i="18"/>
  <c r="M64" i="18"/>
  <c r="L108" i="18"/>
  <c r="Q108" i="18"/>
  <c r="M108" i="18"/>
  <c r="L23" i="18"/>
  <c r="Q23" i="18"/>
  <c r="L39" i="18"/>
  <c r="Q39" i="18"/>
  <c r="M41" i="18"/>
  <c r="M45" i="18"/>
  <c r="L49" i="18"/>
  <c r="Q49" i="18"/>
  <c r="M49" i="18"/>
  <c r="L51" i="18"/>
  <c r="Q51" i="18"/>
  <c r="L63" i="18"/>
  <c r="Q63" i="18"/>
  <c r="M63" i="18"/>
  <c r="M73" i="18"/>
  <c r="L75" i="18"/>
  <c r="Q75" i="18" s="1"/>
  <c r="M75" i="18"/>
  <c r="L85" i="18"/>
  <c r="Q85" i="18" s="1"/>
  <c r="M85" i="18"/>
  <c r="L95" i="18"/>
  <c r="Q95" i="18" s="1"/>
  <c r="M95" i="18"/>
  <c r="L97" i="18"/>
  <c r="Q97" i="18"/>
  <c r="M97" i="18"/>
  <c r="M103" i="18"/>
  <c r="L105" i="18"/>
  <c r="Q105" i="18"/>
  <c r="M105" i="18"/>
  <c r="L20" i="18"/>
  <c r="Q20" i="18" s="1"/>
  <c r="H129" i="18"/>
  <c r="J100" i="16"/>
  <c r="Q45" i="16"/>
  <c r="F133" i="18"/>
  <c r="M63" i="16" s="1"/>
  <c r="J93" i="16"/>
  <c r="J99" i="16"/>
  <c r="F130" i="18"/>
  <c r="F131" i="18"/>
  <c r="F137" i="18"/>
  <c r="J101" i="16"/>
  <c r="F132" i="18"/>
  <c r="F128" i="18"/>
  <c r="F127" i="18"/>
  <c r="H140" i="18"/>
  <c r="F129" i="18"/>
  <c r="M59" i="16" s="1"/>
  <c r="J113" i="18"/>
  <c r="K113" i="18" s="1"/>
  <c r="J103" i="16"/>
  <c r="F138" i="18"/>
  <c r="H141" i="18"/>
  <c r="H130" i="18"/>
  <c r="J96" i="16"/>
  <c r="H134" i="18"/>
  <c r="J95" i="16"/>
  <c r="H139" i="18"/>
  <c r="H132" i="18"/>
  <c r="H135" i="18"/>
  <c r="J105" i="16"/>
  <c r="F134" i="18"/>
  <c r="F140" i="18"/>
  <c r="J104" i="16"/>
  <c r="F136" i="18"/>
  <c r="M66" i="16" s="1"/>
  <c r="M56" i="19" s="1"/>
  <c r="M57" i="19" s="1"/>
  <c r="F141" i="18"/>
  <c r="M82" i="16" s="1"/>
  <c r="H128" i="18"/>
  <c r="H133" i="18"/>
  <c r="H131" i="18"/>
  <c r="J106" i="16"/>
  <c r="M37" i="18"/>
  <c r="L93" i="18"/>
  <c r="Q93" i="18"/>
  <c r="M81" i="18"/>
  <c r="L17" i="18"/>
  <c r="Q17" i="18" s="1"/>
  <c r="M92" i="18"/>
  <c r="M56" i="18"/>
  <c r="L24" i="18"/>
  <c r="Q24" i="18"/>
  <c r="M99" i="18"/>
  <c r="L91" i="18"/>
  <c r="Q91" i="18"/>
  <c r="L78" i="18"/>
  <c r="Q78" i="18" s="1"/>
  <c r="M53" i="18"/>
  <c r="L80" i="18"/>
  <c r="Q80" i="18"/>
  <c r="M52" i="18"/>
  <c r="M83" i="18"/>
  <c r="M76" i="18"/>
  <c r="L60" i="18"/>
  <c r="Q60" i="18"/>
  <c r="L109" i="18"/>
  <c r="Q109" i="18" s="1"/>
  <c r="M100" i="18"/>
  <c r="M79" i="18"/>
  <c r="M31" i="18"/>
  <c r="L19" i="18"/>
  <c r="Q19" i="18" s="1"/>
  <c r="L88" i="18"/>
  <c r="Q88" i="18"/>
  <c r="M68" i="18"/>
  <c r="M48" i="18"/>
  <c r="M54" i="18"/>
  <c r="L72" i="18"/>
  <c r="Q72" i="18"/>
  <c r="L70" i="18"/>
  <c r="Q70" i="18"/>
  <c r="M67" i="18"/>
  <c r="M18" i="18"/>
  <c r="L101" i="18"/>
  <c r="Q101" i="18"/>
  <c r="M57" i="18"/>
  <c r="M47" i="18"/>
  <c r="M102" i="18"/>
  <c r="M44" i="18"/>
  <c r="M50" i="18"/>
  <c r="M25" i="18"/>
  <c r="L33" i="18"/>
  <c r="Q33" i="18"/>
  <c r="M106" i="18"/>
  <c r="M66" i="18"/>
  <c r="L46" i="18"/>
  <c r="Q46" i="18"/>
  <c r="M111" i="18"/>
  <c r="M55" i="18"/>
  <c r="M15" i="18"/>
  <c r="M42" i="18"/>
  <c r="M107" i="18"/>
  <c r="L27" i="18"/>
  <c r="Q27" i="18"/>
  <c r="M40" i="18"/>
  <c r="M62" i="18"/>
  <c r="L38" i="18"/>
  <c r="Q38" i="18"/>
  <c r="L36" i="18"/>
  <c r="Q36" i="18" s="1"/>
  <c r="M110" i="18"/>
  <c r="M90" i="18"/>
  <c r="M64" i="16"/>
  <c r="K56" i="19" s="1"/>
  <c r="K57" i="19" s="1"/>
  <c r="D13" i="20"/>
  <c r="D14" i="20" s="1"/>
  <c r="M61" i="16"/>
  <c r="M58" i="16"/>
  <c r="N58" i="16" s="1"/>
  <c r="M78" i="16"/>
  <c r="M60" i="16"/>
  <c r="D12" i="20"/>
  <c r="J108" i="16"/>
  <c r="J109" i="16"/>
  <c r="I113" i="16"/>
  <c r="M67" i="16"/>
  <c r="M81" i="16"/>
  <c r="M57" i="16"/>
  <c r="N57" i="16" s="1"/>
  <c r="N56" i="19"/>
  <c r="N57" i="19" s="1"/>
  <c r="J56" i="19"/>
  <c r="Q133" i="18"/>
  <c r="Q132" i="18"/>
  <c r="Q127" i="18"/>
  <c r="Q136" i="18"/>
  <c r="Q140" i="18"/>
  <c r="Q137" i="18"/>
  <c r="Q134" i="18"/>
  <c r="Q130" i="18"/>
  <c r="Q129" i="18"/>
  <c r="Q128" i="18"/>
  <c r="Q131" i="18"/>
  <c r="Q138" i="18"/>
  <c r="G27" i="16" l="1"/>
  <c r="G16" i="16"/>
  <c r="L32" i="18"/>
  <c r="Q32" i="18" s="1"/>
  <c r="M32" i="18"/>
  <c r="L35" i="18"/>
  <c r="Q35" i="18" s="1"/>
  <c r="M35" i="18"/>
  <c r="L43" i="18"/>
  <c r="Q43" i="18" s="1"/>
  <c r="M43" i="18"/>
  <c r="L77" i="18"/>
  <c r="Q77" i="18" s="1"/>
  <c r="M77" i="18"/>
  <c r="M98" i="18"/>
  <c r="L98" i="18"/>
  <c r="Q98" i="18" s="1"/>
  <c r="M62" i="16"/>
  <c r="M22" i="18"/>
  <c r="L22" i="18"/>
  <c r="Q22" i="18" s="1"/>
  <c r="F26" i="16"/>
  <c r="P14" i="16"/>
  <c r="F43" i="16" s="1"/>
  <c r="F15" i="16"/>
  <c r="M84" i="18"/>
  <c r="L84" i="18"/>
  <c r="Q84" i="18" s="1"/>
  <c r="K19" i="16"/>
  <c r="K30" i="16"/>
  <c r="L20" i="16"/>
  <c r="L32" i="16" s="1"/>
  <c r="L31" i="16"/>
  <c r="L13" i="18"/>
  <c r="Q13" i="18" s="1"/>
  <c r="M13" i="18"/>
  <c r="M74" i="18"/>
  <c r="L74" i="18"/>
  <c r="Q74" i="18" s="1"/>
  <c r="L34" i="16"/>
  <c r="L38" i="16" s="1"/>
  <c r="J55" i="19" s="1"/>
  <c r="J57" i="19" s="1"/>
  <c r="L16" i="18"/>
  <c r="Q16" i="18" s="1"/>
  <c r="M16" i="18"/>
  <c r="L21" i="18"/>
  <c r="Q21" i="18" s="1"/>
  <c r="M21" i="18"/>
  <c r="L29" i="18"/>
  <c r="Q29" i="18" s="1"/>
  <c r="M29" i="18"/>
  <c r="L69" i="18"/>
  <c r="Q69" i="18" s="1"/>
  <c r="M69" i="18"/>
  <c r="N35" i="18"/>
  <c r="K94" i="18"/>
  <c r="I57" i="16"/>
  <c r="G59" i="16"/>
  <c r="H17" i="16"/>
  <c r="I17" i="16"/>
  <c r="H137" i="18"/>
  <c r="J97" i="16"/>
  <c r="F135" i="18"/>
  <c r="J92" i="16"/>
  <c r="H136" i="18"/>
  <c r="M59" i="18"/>
  <c r="L86" i="18"/>
  <c r="Q86" i="18" s="1"/>
  <c r="K61" i="18"/>
  <c r="N48" i="18"/>
  <c r="I58" i="16"/>
  <c r="J102" i="16"/>
  <c r="H127" i="18"/>
  <c r="H142" i="18" s="1"/>
  <c r="H143" i="18" s="1"/>
  <c r="H138" i="18"/>
  <c r="F139" i="18"/>
  <c r="M87" i="18"/>
  <c r="L26" i="18"/>
  <c r="Q26" i="18" s="1"/>
  <c r="N79" i="18"/>
  <c r="K71" i="18"/>
  <c r="N32" i="18"/>
  <c r="L65" i="18"/>
  <c r="Q65" i="18" s="1"/>
  <c r="N109" i="18"/>
  <c r="N13" i="18"/>
  <c r="M113" i="18" s="1"/>
  <c r="J98" i="16"/>
  <c r="K12" i="18"/>
  <c r="N43" i="18"/>
  <c r="N27" i="18"/>
  <c r="K89" i="18"/>
  <c r="K29" i="16"/>
  <c r="J94" i="16"/>
  <c r="K104" i="18"/>
  <c r="K58" i="18"/>
  <c r="O100" i="16"/>
  <c r="P100" i="16" s="1"/>
  <c r="J19" i="16"/>
  <c r="Q141" i="18"/>
  <c r="M79" i="16" l="1"/>
  <c r="G79" i="16"/>
  <c r="G60" i="16"/>
  <c r="H59" i="16"/>
  <c r="I77" i="16"/>
  <c r="J57" i="16"/>
  <c r="J77" i="16" s="1"/>
  <c r="O104" i="16" s="1"/>
  <c r="P104" i="16" s="1"/>
  <c r="I56" i="19"/>
  <c r="J20" i="16"/>
  <c r="J32" i="16" s="1"/>
  <c r="J31" i="16"/>
  <c r="M104" i="18"/>
  <c r="L104" i="18"/>
  <c r="Q104" i="18" s="1"/>
  <c r="H29" i="16"/>
  <c r="H18" i="16"/>
  <c r="F142" i="18"/>
  <c r="H114" i="18"/>
  <c r="H115" i="18" s="1"/>
  <c r="M94" i="18"/>
  <c r="L94" i="18"/>
  <c r="Q94" i="18" s="1"/>
  <c r="M89" i="18"/>
  <c r="L89" i="18"/>
  <c r="Q89" i="18" s="1"/>
  <c r="M71" i="18"/>
  <c r="L71" i="18"/>
  <c r="Q71" i="18" s="1"/>
  <c r="M65" i="16"/>
  <c r="L56" i="19" s="1"/>
  <c r="L57" i="19" s="1"/>
  <c r="J58" i="16"/>
  <c r="J78" i="16" s="1"/>
  <c r="I78" i="16"/>
  <c r="F27" i="16"/>
  <c r="Q27" i="16" s="1"/>
  <c r="P15" i="16"/>
  <c r="F44" i="16" s="1"/>
  <c r="F16" i="16"/>
  <c r="M12" i="18"/>
  <c r="K112" i="18"/>
  <c r="L112" i="18" s="1"/>
  <c r="Q112" i="18" s="1"/>
  <c r="J139" i="18"/>
  <c r="O79" i="16" s="1"/>
  <c r="K141" i="18"/>
  <c r="I135" i="18"/>
  <c r="J140" i="18"/>
  <c r="J130" i="18"/>
  <c r="K60" i="16" s="1"/>
  <c r="O60" i="16" s="1"/>
  <c r="I138" i="18"/>
  <c r="R138" i="18" s="1"/>
  <c r="L12" i="18"/>
  <c r="Q12" i="18" s="1"/>
  <c r="G17" i="16"/>
  <c r="G28" i="16"/>
  <c r="L58" i="18"/>
  <c r="Q58" i="18" s="1"/>
  <c r="M58" i="18"/>
  <c r="J129" i="18" s="1"/>
  <c r="K59" i="16" s="1"/>
  <c r="O59" i="16" s="1"/>
  <c r="M61" i="18"/>
  <c r="L61" i="18"/>
  <c r="Q61" i="18" s="1"/>
  <c r="I29" i="16"/>
  <c r="I18" i="16"/>
  <c r="K20" i="16"/>
  <c r="K32" i="16" s="1"/>
  <c r="K31" i="16"/>
  <c r="K34" i="16" s="1"/>
  <c r="K38" i="16" s="1"/>
  <c r="I55" i="19" s="1"/>
  <c r="Q26" i="16"/>
  <c r="Q135" i="18"/>
  <c r="Q139" i="18"/>
  <c r="R135" i="18" l="1"/>
  <c r="Q142" i="18"/>
  <c r="J131" i="18"/>
  <c r="K61" i="16" s="1"/>
  <c r="O61" i="16" s="1"/>
  <c r="I30" i="16"/>
  <c r="I19" i="16"/>
  <c r="K134" i="18"/>
  <c r="J135" i="18"/>
  <c r="K65" i="16" s="1"/>
  <c r="O65" i="16" s="1"/>
  <c r="I130" i="18"/>
  <c r="J134" i="18"/>
  <c r="K64" i="16" s="1"/>
  <c r="O64" i="16" s="1"/>
  <c r="K130" i="18"/>
  <c r="F17" i="16"/>
  <c r="F28" i="16"/>
  <c r="P16" i="16"/>
  <c r="F45" i="16" s="1"/>
  <c r="N77" i="16"/>
  <c r="O105" i="16"/>
  <c r="P105" i="16" s="1"/>
  <c r="N78" i="16"/>
  <c r="G29" i="16"/>
  <c r="G18" i="16"/>
  <c r="K127" i="18"/>
  <c r="K140" i="18"/>
  <c r="I132" i="18"/>
  <c r="J128" i="18"/>
  <c r="K58" i="16" s="1"/>
  <c r="O58" i="16" s="1"/>
  <c r="P58" i="16" s="1"/>
  <c r="K129" i="18"/>
  <c r="H79" i="16"/>
  <c r="I59" i="16"/>
  <c r="O99" i="16"/>
  <c r="P99" i="16" s="1"/>
  <c r="N59" i="16"/>
  <c r="K131" i="18"/>
  <c r="Q113" i="18"/>
  <c r="K137" i="18"/>
  <c r="I139" i="18"/>
  <c r="R139" i="18" s="1"/>
  <c r="K138" i="18"/>
  <c r="J136" i="18"/>
  <c r="K66" i="16" s="1"/>
  <c r="O66" i="16" s="1"/>
  <c r="K139" i="18"/>
  <c r="I134" i="18"/>
  <c r="R134" i="18" s="1"/>
  <c r="H60" i="16"/>
  <c r="G61" i="16"/>
  <c r="G80" i="16"/>
  <c r="J132" i="18"/>
  <c r="K62" i="16" s="1"/>
  <c r="O62" i="16" s="1"/>
  <c r="I140" i="18"/>
  <c r="R140" i="18" s="1"/>
  <c r="I141" i="18"/>
  <c r="R141" i="18" s="1"/>
  <c r="J141" i="18"/>
  <c r="O82" i="16" s="1"/>
  <c r="P82" i="16" s="1"/>
  <c r="I137" i="18"/>
  <c r="R137" i="18" s="1"/>
  <c r="I136" i="18"/>
  <c r="R136" i="18" s="1"/>
  <c r="O103" i="16"/>
  <c r="P103" i="16" s="1"/>
  <c r="N81" i="16"/>
  <c r="J34" i="16"/>
  <c r="J38" i="16" s="1"/>
  <c r="H55" i="19" s="1"/>
  <c r="H57" i="19" s="1"/>
  <c r="J137" i="18"/>
  <c r="K67" i="16" s="1"/>
  <c r="O67" i="16" s="1"/>
  <c r="O81" i="16"/>
  <c r="P81" i="16" s="1"/>
  <c r="K128" i="18"/>
  <c r="I129" i="18"/>
  <c r="K136" i="18"/>
  <c r="K133" i="18"/>
  <c r="J127" i="18"/>
  <c r="J138" i="18"/>
  <c r="M56" i="16"/>
  <c r="J133" i="18"/>
  <c r="K63" i="16" s="1"/>
  <c r="O63" i="16" s="1"/>
  <c r="O102" i="16"/>
  <c r="P102" i="16" s="1"/>
  <c r="N82" i="16"/>
  <c r="N79" i="16"/>
  <c r="P79" i="16" s="1"/>
  <c r="M76" i="16"/>
  <c r="I133" i="18"/>
  <c r="R133" i="18" s="1"/>
  <c r="I131" i="18"/>
  <c r="I128" i="18"/>
  <c r="K132" i="18"/>
  <c r="I127" i="18"/>
  <c r="K135" i="18"/>
  <c r="I57" i="19"/>
  <c r="H19" i="16"/>
  <c r="H30" i="16"/>
  <c r="R128" i="18"/>
  <c r="R130" i="18"/>
  <c r="R131" i="18"/>
  <c r="R129" i="18"/>
  <c r="R132" i="18"/>
  <c r="O78" i="16" l="1"/>
  <c r="K77" i="16"/>
  <c r="I31" i="16"/>
  <c r="I20" i="16"/>
  <c r="I32" i="16" s="1"/>
  <c r="K142" i="18"/>
  <c r="K143" i="18" s="1"/>
  <c r="Q28" i="16"/>
  <c r="K57" i="16"/>
  <c r="O57" i="16" s="1"/>
  <c r="J142" i="18"/>
  <c r="J143" i="18" s="1"/>
  <c r="G19" i="16"/>
  <c r="G30" i="16"/>
  <c r="P17" i="16"/>
  <c r="F46" i="16" s="1"/>
  <c r="F29" i="16"/>
  <c r="Q29" i="16" s="1"/>
  <c r="F18" i="16"/>
  <c r="I79" i="16"/>
  <c r="J59" i="16"/>
  <c r="J79" i="16" s="1"/>
  <c r="N83" i="16" s="1"/>
  <c r="P83" i="16" s="1"/>
  <c r="P59" i="16"/>
  <c r="K78" i="16"/>
  <c r="H20" i="16"/>
  <c r="H32" i="16" s="1"/>
  <c r="H31" i="16"/>
  <c r="I142" i="18"/>
  <c r="I143" i="18" s="1"/>
  <c r="H61" i="16"/>
  <c r="G62" i="16"/>
  <c r="Q115" i="18"/>
  <c r="D15" i="20"/>
  <c r="O98" i="16"/>
  <c r="P98" i="16" s="1"/>
  <c r="I60" i="16"/>
  <c r="H80" i="16"/>
  <c r="N84" i="16" s="1"/>
  <c r="P84" i="16" s="1"/>
  <c r="N60" i="16"/>
  <c r="P60" i="16" s="1"/>
  <c r="P77" i="16"/>
  <c r="N85" i="16"/>
  <c r="N86" i="16" s="1"/>
  <c r="R127" i="18"/>
  <c r="R142" i="18" l="1"/>
  <c r="G63" i="16"/>
  <c r="H62" i="16"/>
  <c r="I34" i="16"/>
  <c r="I38" i="16" s="1"/>
  <c r="G55" i="19" s="1"/>
  <c r="G57" i="19" s="1"/>
  <c r="O68" i="16"/>
  <c r="O69" i="16" s="1"/>
  <c r="P57" i="16"/>
  <c r="F30" i="16"/>
  <c r="F19" i="16"/>
  <c r="P18" i="16"/>
  <c r="F47" i="16" s="1"/>
  <c r="G20" i="16"/>
  <c r="G32" i="16" s="1"/>
  <c r="G31" i="16"/>
  <c r="G34" i="16" s="1"/>
  <c r="G38" i="16" s="1"/>
  <c r="E55" i="19" s="1"/>
  <c r="E57" i="19" s="1"/>
  <c r="I61" i="16"/>
  <c r="J61" i="16" s="1"/>
  <c r="O97" i="16"/>
  <c r="P97" i="16" s="1"/>
  <c r="N61" i="16"/>
  <c r="J60" i="16"/>
  <c r="J80" i="16" s="1"/>
  <c r="I80" i="16"/>
  <c r="H34" i="16"/>
  <c r="H38" i="16" s="1"/>
  <c r="F55" i="19" s="1"/>
  <c r="F57" i="19" s="1"/>
  <c r="P78" i="16"/>
  <c r="P85" i="16" s="1"/>
  <c r="P86" i="16" s="1"/>
  <c r="I115" i="16" s="1"/>
  <c r="O85" i="16"/>
  <c r="O86" i="16" s="1"/>
  <c r="Q30" i="16" l="1"/>
  <c r="G64" i="16"/>
  <c r="H63" i="16"/>
  <c r="I63" i="16" s="1"/>
  <c r="J63" i="16" s="1"/>
  <c r="P61" i="16"/>
  <c r="O96" i="16"/>
  <c r="P96" i="16" s="1"/>
  <c r="I62" i="16"/>
  <c r="J62" i="16" s="1"/>
  <c r="N62" i="16"/>
  <c r="P62" i="16" s="1"/>
  <c r="P19" i="16"/>
  <c r="F48" i="16" s="1"/>
  <c r="F31" i="16"/>
  <c r="Q31" i="16" s="1"/>
  <c r="F20" i="16"/>
  <c r="F32" i="16" l="1"/>
  <c r="Q32" i="16" s="1"/>
  <c r="Q34" i="16" s="1"/>
  <c r="P20" i="16"/>
  <c r="F49" i="16" s="1"/>
  <c r="O95" i="16"/>
  <c r="P95" i="16" s="1"/>
  <c r="N63" i="16"/>
  <c r="P63" i="16" s="1"/>
  <c r="G65" i="16"/>
  <c r="H64" i="16"/>
  <c r="I64" i="16" s="1"/>
  <c r="J64" i="16" s="1"/>
  <c r="F34" i="16"/>
  <c r="F38" i="16" s="1"/>
  <c r="D55" i="19" l="1"/>
  <c r="D57" i="19" s="1"/>
  <c r="Q38" i="16"/>
  <c r="Q40" i="16" s="1"/>
  <c r="G66" i="16"/>
  <c r="H65" i="16"/>
  <c r="I65" i="16" s="1"/>
  <c r="J65" i="16" s="1"/>
  <c r="O94" i="16"/>
  <c r="P94" i="16" s="1"/>
  <c r="N64" i="16"/>
  <c r="P64" i="16" s="1"/>
  <c r="O93" i="16" l="1"/>
  <c r="P93" i="16" s="1"/>
  <c r="N65" i="16"/>
  <c r="P65" i="16" s="1"/>
  <c r="G67" i="16"/>
  <c r="H67" i="16" s="1"/>
  <c r="I67" i="16" s="1"/>
  <c r="J67" i="16" s="1"/>
  <c r="H66" i="16"/>
  <c r="I66" i="16" s="1"/>
  <c r="J66" i="16" s="1"/>
  <c r="O91" i="16" l="1"/>
  <c r="P91" i="16" s="1"/>
  <c r="P107" i="16" s="1"/>
  <c r="N67" i="16"/>
  <c r="O92" i="16"/>
  <c r="P92" i="16" s="1"/>
  <c r="N66" i="16"/>
  <c r="P66" i="16" s="1"/>
  <c r="P67" i="16" l="1"/>
  <c r="P68" i="16" s="1"/>
  <c r="N68" i="16"/>
  <c r="N69" i="16" l="1"/>
  <c r="J114" i="18"/>
  <c r="J115" i="18" s="1"/>
  <c r="P69" i="16"/>
  <c r="O110" i="16"/>
  <c r="I116" i="16" l="1"/>
  <c r="I117" i="16" s="1"/>
  <c r="I118" i="16" s="1"/>
  <c r="J118" i="16" s="1"/>
  <c r="O111" i="16"/>
</calcChain>
</file>

<file path=xl/comments1.xml><?xml version="1.0" encoding="utf-8"?>
<comments xmlns="http://schemas.openxmlformats.org/spreadsheetml/2006/main">
  <authors>
    <author>Mata Arias Ana Jaqueline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ESCRIBIR EL NOMBRE DE LA ENTIDAD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ESCRIBIR EL NOMBRE DEL MUNICIPIO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ESCRIBIR EL NÚMERO DE ELEMENTOS OPERATIVOS CON QUE CUENTA LA CORPORACIÓN.
No considerar Escolatas, administrativos, personal operativo con funciones administrativas, policia de tránsito, prevención civil, bomberos etc. 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población en el municipio según el INEGI 2010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</rPr>
          <t>ESCRIBIR EL NOMBRE DEL DIRECTOR DE SEGURIDAD PÚBLICA</t>
        </r>
      </text>
    </comment>
    <comment ref="O117" authorId="0" shapeId="0">
      <text>
        <r>
          <rPr>
            <b/>
            <sz val="9"/>
            <color indexed="81"/>
            <rFont val="Tahoma"/>
            <family val="2"/>
          </rPr>
          <t xml:space="preserve">ESCRIBIR EL NOMBRE DEL PRESIDENTE MUNICIPAL
</t>
        </r>
      </text>
    </comment>
    <comment ref="L118" authorId="0" shapeId="0">
      <text>
        <r>
          <rPr>
            <b/>
            <sz val="9"/>
            <color indexed="81"/>
            <rFont val="Tahoma"/>
            <family val="2"/>
          </rPr>
          <t>COLOCAR EL CARGO CORRECTO DEL DIRECTOR</t>
        </r>
      </text>
    </comment>
    <comment ref="O118" authorId="0" shapeId="0">
      <text>
        <r>
          <rPr>
            <b/>
            <sz val="9"/>
            <color indexed="81"/>
            <rFont val="Tahoma"/>
            <family val="2"/>
          </rPr>
          <t xml:space="preserve">CARGO COMPLETO DEL PRESIDENTE MUNICIPAL
</t>
        </r>
      </text>
    </comment>
  </commentList>
</comments>
</file>

<file path=xl/comments2.xml><?xml version="1.0" encoding="utf-8"?>
<comments xmlns="http://schemas.openxmlformats.org/spreadsheetml/2006/main">
  <authors>
    <author>Escandon Estrada Alejandra Teresa</author>
    <author>Mata Arias Ana Jaqueline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Escandon Estrada Alejandra Teresa:</t>
        </r>
        <r>
          <rPr>
            <sz val="9"/>
            <color indexed="81"/>
            <rFont val="Tahoma"/>
            <family val="2"/>
          </rPr>
          <t xml:space="preserve">
INSERTAR LOS DIAS DE AGUINALDO OTORGADOS AL ELEMENTO OPERATIVO
</t>
        </r>
      </text>
    </comment>
    <comment ref="I122" authorId="1" shapeId="0">
      <text>
        <r>
          <rPr>
            <b/>
            <sz val="9"/>
            <color indexed="81"/>
            <rFont val="Tahoma"/>
            <family val="2"/>
          </rPr>
          <t>ESCRIBIR EL NOMBRE DEL DIRECTOR DE SEGURIDAD PÚBLICA</t>
        </r>
      </text>
    </comment>
    <comment ref="L122" authorId="1" shapeId="0">
      <text>
        <r>
          <rPr>
            <b/>
            <sz val="9"/>
            <color indexed="81"/>
            <rFont val="Tahoma"/>
            <family val="2"/>
          </rPr>
          <t xml:space="preserve">ESCRIBIR EL NOMBRE DEL PRESIDENTE MUNICIPAL
</t>
        </r>
      </text>
    </comment>
    <comment ref="I123" authorId="1" shapeId="0">
      <text>
        <r>
          <rPr>
            <b/>
            <sz val="9"/>
            <color indexed="81"/>
            <rFont val="Tahoma"/>
            <family val="2"/>
          </rPr>
          <t>COLOCAR EL CARGO CORRECTO DEL DIRECTOR</t>
        </r>
      </text>
    </comment>
    <comment ref="L123" authorId="1" shapeId="0">
      <text>
        <r>
          <rPr>
            <b/>
            <sz val="9"/>
            <color indexed="81"/>
            <rFont val="Tahoma"/>
            <family val="2"/>
          </rPr>
          <t xml:space="preserve">CARGO COMPLETO DEL PRESIDENTE MUNICIPAL
</t>
        </r>
      </text>
    </comment>
  </commentList>
</comments>
</file>

<file path=xl/sharedStrings.xml><?xml version="1.0" encoding="utf-8"?>
<sst xmlns="http://schemas.openxmlformats.org/spreadsheetml/2006/main" count="353" uniqueCount="199">
  <si>
    <t>Suboficial</t>
  </si>
  <si>
    <t>Oficial</t>
  </si>
  <si>
    <t>Subinspector</t>
  </si>
  <si>
    <t>Inspector</t>
  </si>
  <si>
    <t>Comisario</t>
  </si>
  <si>
    <t>Tabulador 1</t>
  </si>
  <si>
    <t>Tabulador 2</t>
  </si>
  <si>
    <t>Tabulador 3</t>
  </si>
  <si>
    <t>Tabulador 4</t>
  </si>
  <si>
    <t>Total mensual</t>
  </si>
  <si>
    <t>POLICÍA TERCERO</t>
  </si>
  <si>
    <t>POLICÍA SEGUNDO</t>
  </si>
  <si>
    <t>POLICÍA PRIMERO</t>
  </si>
  <si>
    <t>SUBOFICIAL</t>
  </si>
  <si>
    <t>OFICIAL</t>
  </si>
  <si>
    <t>SUBINSPECTOR</t>
  </si>
  <si>
    <t>INSPECTOR</t>
  </si>
  <si>
    <t xml:space="preserve">ESCUADRA </t>
  </si>
  <si>
    <t xml:space="preserve">PELOTÓN </t>
  </si>
  <si>
    <t>SECCIÓN</t>
  </si>
  <si>
    <t>TOTAL</t>
  </si>
  <si>
    <t>Núm. Elementos</t>
  </si>
  <si>
    <t xml:space="preserve">Elementos en activo en la corporación  </t>
  </si>
  <si>
    <t>Total Anual</t>
  </si>
  <si>
    <t xml:space="preserve">Tamaño de la corporación  </t>
  </si>
  <si>
    <t>CORPORACIÓN</t>
  </si>
  <si>
    <t>DISTRIBUCIÓN</t>
  </si>
  <si>
    <t>INCREMENTO</t>
  </si>
  <si>
    <t>PORCENTAJE</t>
  </si>
  <si>
    <t>UNIDAD</t>
  </si>
  <si>
    <t>DIVISIÓN</t>
  </si>
  <si>
    <t>COORDINACIÓN</t>
  </si>
  <si>
    <t>COMPAÑÍA</t>
  </si>
  <si>
    <t>AGRUPAMIENTO</t>
  </si>
  <si>
    <t>Policía 3°</t>
  </si>
  <si>
    <t>Policía 2°</t>
  </si>
  <si>
    <t>Policía 1°</t>
  </si>
  <si>
    <t>Incremento por Grado</t>
  </si>
  <si>
    <t>Incremento entre Tabuladores</t>
  </si>
  <si>
    <t>Compensación mensual</t>
  </si>
  <si>
    <t>POLICÍA</t>
  </si>
  <si>
    <t xml:space="preserve">Policía </t>
  </si>
  <si>
    <t>Monto salarial mensual (Proyección)</t>
  </si>
  <si>
    <t>Monto salarial anual (Proyección)</t>
  </si>
  <si>
    <t>INCREMENTO SALARIAL ANUAL</t>
  </si>
  <si>
    <t>TOTALES NIVELACIÓN SALARIAL POR UNIDAD</t>
  </si>
  <si>
    <t>AUTORIZÓ</t>
  </si>
  <si>
    <t>ELABORÓ</t>
  </si>
  <si>
    <t>Total de unidades en el Municipio</t>
  </si>
  <si>
    <t>Fecha:</t>
  </si>
  <si>
    <t>Municipio:</t>
  </si>
  <si>
    <t>Entidad:</t>
  </si>
  <si>
    <t>GRADO</t>
  </si>
  <si>
    <t>SUELDO MENOR</t>
  </si>
  <si>
    <t>SUELDO MAYOR</t>
  </si>
  <si>
    <t xml:space="preserve">          </t>
  </si>
  <si>
    <t>TOTAL EN NÓMINA</t>
  </si>
  <si>
    <t>SUELDOS ACTUALES OPERATIVOS</t>
  </si>
  <si>
    <t>ESTRUCTURA TERCIARIA</t>
  </si>
  <si>
    <t>Nombre, cargo y firma del Presidente Municipal.</t>
  </si>
  <si>
    <t>Nombre, cargo y firma del Director de la Corporación, responsable de integrar la información.</t>
  </si>
  <si>
    <t>Colocar el sueldo base neto, mismo que no debe ser menor a $6,000.00  libres de impuestos.</t>
  </si>
  <si>
    <t>En estos campos se reflejan aumentos del 5% (variable) entre una y otra propuesta de tabulador.</t>
  </si>
  <si>
    <t>El incremento por grado, se refiere al porcentaje de aumento entre un nivel y otro, el cual se sugiere que sea de 25%, este porcentaje se puede cambiar.</t>
  </si>
  <si>
    <t>En la columna se representan los puestos con que cuenta el nuevo modelo de corporación policial.</t>
  </si>
  <si>
    <t>En esta sección se despliegan cuatro opciones de tabulador, mismas que operan automaticamente con las cantidades y procentajes integrados en los numerales anteriores.</t>
  </si>
  <si>
    <t>El número de elementos colocado en el simulador "Piramide", se reflejará en esta columna lo cual se multiplicará por el tabulador de sueldos seleccionado.</t>
  </si>
  <si>
    <t>Refleja el total de la compensación multiplicado por el número de elementos del numeral 7.</t>
  </si>
  <si>
    <t>Tabulador Final: Multiplica el total de la compensación por el total del tabulador seleccionado.</t>
  </si>
  <si>
    <t>Es la aportación total mensual de este cálculo.</t>
  </si>
  <si>
    <t>Es la aportación total anual de este cálculo.</t>
  </si>
  <si>
    <t>Este es un cuadro comparativo entre el incremento total anual y la aportación del 25% municipal, destinada a la renivelación salarial.</t>
  </si>
  <si>
    <t>Es el monto correspondiente al 25% de la aportación municipal para renivelación salarial.</t>
  </si>
  <si>
    <t>Coloque el número de Unidades Modelo que se pretende implementar en 2008, para identificar para que alcanza el 25% de 2008.</t>
  </si>
  <si>
    <t>En esta columna se integrará si es procedente una compensación para los puestos de mayor nivel.</t>
  </si>
  <si>
    <t>Aquí se reflejan los montos mensuales y anuales que corresponden a los tabuladores seleccionados.</t>
  </si>
  <si>
    <t xml:space="preserve">Tabulador de sueldos seleccionado, refleja la multiplicación de los elementos por los montos del tabulador. Puede generar este tabulador copiando (con  fórmula =(celda seleccionada)), las celdas que elija para cada puesto de los cuatro tabuladores presentados en el número 5. </t>
  </si>
  <si>
    <t>En este recuadro coloque los sueldos mas bajos del policía de nivel básico, que actualmente percibe su policía y aparecerá el monto del incremento y el porcentaje correspondiente.</t>
  </si>
  <si>
    <t>NOTA</t>
  </si>
  <si>
    <t>Monto total de la nómina correspondiente al número de elementos a renivelar.</t>
  </si>
  <si>
    <t>Total de nómina  actual de elementos a renivelar.</t>
  </si>
  <si>
    <t>COSTO RENIVELACIÓN POR TOTAL DE UNIDADES</t>
  </si>
  <si>
    <t>Colocar los sueldos mínimos y máximos que percibe su policía por niveles de grado y el total que aporta a cada nivel en su nómina mensual, asi como el número de elementos que se encuentran activos en cada nivel.</t>
  </si>
  <si>
    <t>CANTIDAD</t>
  </si>
  <si>
    <t xml:space="preserve">SIMULADOR "PIRAMIDE"                          </t>
  </si>
  <si>
    <t>TOT. CORPORACIÓN</t>
  </si>
  <si>
    <t>RESTO DE CORP.</t>
  </si>
  <si>
    <t>Policía (U. Análisis)</t>
  </si>
  <si>
    <t>Policía (U. Reacción)</t>
  </si>
  <si>
    <t>Policía 3° (Jefe U. R.)</t>
  </si>
  <si>
    <t xml:space="preserve">SIMULADOR "SALARIOS"   </t>
  </si>
  <si>
    <t xml:space="preserve">aumento prom. </t>
  </si>
  <si>
    <t xml:space="preserve">Diferencia Activos  Vs.  Estructura nueva </t>
  </si>
  <si>
    <t xml:space="preserve">1 ESCUADRA </t>
  </si>
  <si>
    <t xml:space="preserve">2 PELOTÓN </t>
  </si>
  <si>
    <t>3 SECCIÓN</t>
  </si>
  <si>
    <t>4 COMPAÑÍA</t>
  </si>
  <si>
    <t>GRUPO</t>
  </si>
  <si>
    <t>5 GRUPO</t>
  </si>
  <si>
    <t>8 DIVISIÓN</t>
  </si>
  <si>
    <t>9 COORDINACIÓN</t>
  </si>
  <si>
    <t>6 AGRUPAMIENTO</t>
  </si>
  <si>
    <t>7 UNIDAD</t>
  </si>
  <si>
    <t>INSPECTOR JEFE</t>
  </si>
  <si>
    <t>INSPECTOR GENERAL</t>
  </si>
  <si>
    <t>Población en el municipio (cifra oficial)</t>
  </si>
  <si>
    <t>ESCUADRAS</t>
  </si>
  <si>
    <t>PELOTONES</t>
  </si>
  <si>
    <t>SECCIONES</t>
  </si>
  <si>
    <t>COMPAÑÍAS</t>
  </si>
  <si>
    <t>GRUPOS</t>
  </si>
  <si>
    <t>AGRUPAMIENTOS</t>
  </si>
  <si>
    <t>UNIDADES</t>
  </si>
  <si>
    <t>DIVISIONES</t>
  </si>
  <si>
    <t>COORDINACIONES</t>
  </si>
  <si>
    <t>Policía 3° (Jefe U. A.)</t>
  </si>
  <si>
    <t>SITUACIÓN ANTES DE PROYECCIÓN DE REESTRUCTURACIÓN Y RENIVELACIÓN</t>
  </si>
  <si>
    <t>PRESIDENTE MUNICIPAL</t>
  </si>
  <si>
    <t>DIRECTOR GENERAL DE SEGURIDAD PÚBLICA</t>
  </si>
  <si>
    <t xml:space="preserve">Núm.de policias por cada 100 mil hab.  </t>
  </si>
  <si>
    <t xml:space="preserve">Núm. de policias por cada 1000 hab.  </t>
  </si>
  <si>
    <t>Suma Tabular</t>
  </si>
  <si>
    <t>Suma Compensación</t>
  </si>
  <si>
    <t>ESCALA BÁSICA</t>
  </si>
  <si>
    <t>OFICIALES</t>
  </si>
  <si>
    <t>INSPECTORES</t>
  </si>
  <si>
    <t>Columna1</t>
  </si>
  <si>
    <t>COMISARIO</t>
  </si>
  <si>
    <t>ALTO MANDO</t>
  </si>
  <si>
    <t>Inspector Jefe</t>
  </si>
  <si>
    <t>Inspector General</t>
  </si>
  <si>
    <t>ELEMENTO</t>
  </si>
  <si>
    <t xml:space="preserve">Excedente /150 policías x c/100mil hab. </t>
  </si>
  <si>
    <t>TAMAÑO DE LA CORPORACIÓN</t>
  </si>
  <si>
    <t>Se determina por el número de elementos por cada 100 mil habitantes: Hasta 100 "Pequeña"; Hasta 150 "Mediana"; Hasta 200 "Grande" y 201 en adelante "Fuera de Rango".</t>
  </si>
  <si>
    <t>Aplicar organización piramidal terciaria a todos los elementos de su corporación. El grado máximo piramidal estará determinado por el número de elementos en la corporación y solo el titular podrá ocupar el grado de Comisario, sin alterar la escala terciaria. Solo se modificarán las celdas con fondo blanco, el resto tiene formulas.</t>
  </si>
  <si>
    <t>TABULADOR GENERAL DE CORPORACIÓN</t>
  </si>
  <si>
    <t>TABULADOR PARA ELEMENTOS CON FUNCIONES ESPECIALES</t>
  </si>
  <si>
    <t>FUNCIONES ESPEC.</t>
  </si>
  <si>
    <t>1  IDENTIFICACIÓN</t>
  </si>
  <si>
    <t>2 SALARIO</t>
  </si>
  <si>
    <t>NO.</t>
  </si>
  <si>
    <t>CUIP</t>
  </si>
  <si>
    <t>NOMBRE</t>
  </si>
  <si>
    <t>PUESTO ACTUAL</t>
  </si>
  <si>
    <t>GRADO MODELO POLICIAL</t>
  </si>
  <si>
    <t>TABULADOR MODELO POLICIAL</t>
  </si>
  <si>
    <t>COMPENSACIONES POR AJUSTE SALARIAL</t>
  </si>
  <si>
    <t>AUMENTO A NIVELES SUPERIORES</t>
  </si>
  <si>
    <t xml:space="preserve">RETROACTIVO NIVELES SUPERIORES </t>
  </si>
  <si>
    <t>TOTAL RENIVELACIÓN</t>
  </si>
  <si>
    <t>SUELDO BASE (BRUTO-MENSUAL)</t>
  </si>
  <si>
    <t>PRESIDENTE MUNICIPAL CONSTITUCIONAL</t>
  </si>
  <si>
    <t>DIRECTOR DE SEGURIDAD PÚBLICA MUNICIPAL</t>
  </si>
  <si>
    <t>SUELDO BRUTO</t>
  </si>
  <si>
    <t xml:space="preserve"> Total Mensual Nómina Sueldo Brtuto Actual</t>
  </si>
  <si>
    <t xml:space="preserve"> Total Mensual Tabulador Modelo Policial</t>
  </si>
  <si>
    <t>COPARTICIPACIÓN</t>
  </si>
  <si>
    <t>SALDO</t>
  </si>
  <si>
    <t>FACTOR AGUINALDO</t>
  </si>
  <si>
    <t>DIAS DE AGUINALDO/ FACTOR AGUINALDO</t>
  </si>
  <si>
    <t>Total de Renivelación</t>
  </si>
  <si>
    <t>Saldo</t>
  </si>
  <si>
    <t>Comprobación</t>
  </si>
  <si>
    <t>Total anual C/</t>
  </si>
  <si>
    <t xml:space="preserve"> días de Aguinaldo</t>
  </si>
  <si>
    <t>Rango</t>
  </si>
  <si>
    <t>Total general</t>
  </si>
  <si>
    <t>Núm. Elementos.</t>
  </si>
  <si>
    <t>Suma Tabular.</t>
  </si>
  <si>
    <t>NUMERO DE ELEMENTOS</t>
  </si>
  <si>
    <t>Diferencia número de elementos</t>
  </si>
  <si>
    <t>Diferencia Tabulador Modelo Policial</t>
  </si>
  <si>
    <t>TOTAL RENIV.  RESTO CORPORACIÓN.</t>
  </si>
  <si>
    <t xml:space="preserve">TOTAL RENIV. ELEMENTOS CON FUNCIONES ESPECIALES.  </t>
  </si>
  <si>
    <t>SUELDO BASE TABULADO ACTUAL MENSUAL</t>
  </si>
  <si>
    <t>SUMA DE OTRAS PERCEPCIONES FIJAS</t>
  </si>
  <si>
    <t>SUELDO BRUTO
=SB+OPF</t>
  </si>
  <si>
    <t>AUMENTO MENSUAL</t>
  </si>
  <si>
    <t>PORCENTAJE DEL AUMENTO</t>
  </si>
  <si>
    <t>DIFERENCIA POR SUELDO EXCEDENTE</t>
  </si>
  <si>
    <t>MONTO ANUAL CON PP DE AGUINALDO</t>
  </si>
  <si>
    <t>Nota: En la columna de " AUMENTO MENSUAL", si el resultado resultará con signo negativo por ningun motivo se le descontará del salario del elemento.</t>
  </si>
  <si>
    <t>IDEAL</t>
  </si>
  <si>
    <t>REAL</t>
  </si>
  <si>
    <t xml:space="preserve">PROMOCIONES </t>
  </si>
  <si>
    <t>CON SIGNO NEGATIVO SON LAS PROMOCIONES PROBABLES PARA ESE GRADO, POR QUE SON EL NÚMERO DE POLICÍAS QUE FALTAN PARA TENER UNA JERARQUIZACIÓN TERCIARÍA CORRECTA.</t>
  </si>
  <si>
    <t>inflación a la nómina por aumento Mensual</t>
  </si>
  <si>
    <t xml:space="preserve">Es decir el gasto extra que se tendrá por el aumento a los sueldos </t>
  </si>
  <si>
    <t>CON SIGNO POSITIVO, SON EL NÚMERO DE POLICÍAS QUE TIENE DE MAS DE, ESE GRADO , DE ACUERDO A LA JERARQUIZACIÓN TERCIARÍA.</t>
  </si>
  <si>
    <t xml:space="preserve">PROYECTO DE MEJORA SALARIAL </t>
  </si>
  <si>
    <t>IMPACTO REAL SALARIAL</t>
  </si>
  <si>
    <t>Total de Renivelación más la Parte Prorcional del Aguinaldo (12 meses + 2.20aguinaldo)</t>
  </si>
  <si>
    <t>TOTAL RECURSO PROPIO</t>
  </si>
  <si>
    <t>Recurso Propio</t>
  </si>
  <si>
    <t xml:space="preserve">APORTACIÓN MUNICIPAL </t>
  </si>
  <si>
    <t xml:space="preserve">Saldo de renivelación </t>
  </si>
  <si>
    <t>Me permito comentar a Usted que la Dirección General de Apoyo Técnico, se encuentra en la disposición de asesorar al beneficiario en la elaboración del proyecto, por lo cual se hace extensiva la invitación a los interesados a presentarse en estas instalaciones con previa cita al correo alejandra.escandon@sspc.gob.mx y a las extenciones 71235</t>
  </si>
  <si>
    <t>Fecha de modificación: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</si>
</sst>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[$-F800]dddd\,\ mmmm\ dd\,\ yyyy"/>
    <numFmt numFmtId="167" formatCode="_-[$$-80A]* #,##0.00_-;\-[$$-80A]* #,##0.00_-;_-[$$-80A]* &quot;-&quot;??_-;_-@_-"/>
    <numFmt numFmtId="168" formatCode="#,##0.0000"/>
    <numFmt numFmtId="169" formatCode="&quot;$&quot;#,##0.00"/>
    <numFmt numFmtId="170" formatCode="#,##0.00_ ;[Red]\-#,##0.00\ "/>
    <numFmt numFmtId="178" formatCode="#,##0.000"/>
    <numFmt numFmtId="181" formatCode="0.000"/>
    <numFmt numFmtId="185" formatCode="0_ ;[Red]\-0\ "/>
  </numFmts>
  <fonts count="94" x14ac:knownFonts="1">
    <font>
      <sz val="11"/>
      <color theme="1"/>
      <name val="Calibri"/>
      <family val="2"/>
      <scheme val="minor"/>
    </font>
    <font>
      <b/>
      <sz val="10"/>
      <color indexed="9"/>
      <name val="Arial Narrow"/>
      <family val="2"/>
    </font>
    <font>
      <b/>
      <sz val="9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b/>
      <sz val="11"/>
      <color indexed="18"/>
      <name val="Arial Narrow"/>
      <family val="2"/>
    </font>
    <font>
      <b/>
      <sz val="11"/>
      <color indexed="60"/>
      <name val="Arial Narrow"/>
      <family val="2"/>
    </font>
    <font>
      <sz val="10"/>
      <color indexed="8"/>
      <name val="Arial Narrow"/>
      <family val="2"/>
    </font>
    <font>
      <b/>
      <sz val="10"/>
      <color indexed="1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2"/>
      <color indexed="60"/>
      <name val="Arial Narrow"/>
      <family val="2"/>
    </font>
    <font>
      <sz val="9"/>
      <color indexed="8"/>
      <name val="Arial Narrow"/>
      <family val="2"/>
    </font>
    <font>
      <b/>
      <sz val="12"/>
      <color indexed="56"/>
      <name val="Arial Narrow"/>
      <family val="2"/>
    </font>
    <font>
      <b/>
      <sz val="12"/>
      <color indexed="8"/>
      <name val="Arial Narrow"/>
      <family val="2"/>
    </font>
    <font>
      <b/>
      <sz val="11"/>
      <color indexed="18"/>
      <name val="Arial Narrow"/>
      <family val="2"/>
    </font>
    <font>
      <b/>
      <sz val="20"/>
      <color indexed="18"/>
      <name val="Arial Narrow"/>
      <family val="2"/>
    </font>
    <font>
      <b/>
      <sz val="16"/>
      <color indexed="9"/>
      <name val="Arial Narrow"/>
      <family val="2"/>
    </font>
    <font>
      <b/>
      <sz val="12"/>
      <color indexed="18"/>
      <name val="Arial Narrow"/>
      <family val="2"/>
    </font>
    <font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8"/>
      <color indexed="60"/>
      <name val="Arial Narrow"/>
      <family val="2"/>
    </font>
    <font>
      <b/>
      <sz val="11"/>
      <color indexed="60"/>
      <name val="Arial Narrow"/>
      <family val="2"/>
    </font>
    <font>
      <b/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10"/>
      <color indexed="55"/>
      <name val="Arial Narrow"/>
      <family val="2"/>
    </font>
    <font>
      <b/>
      <sz val="11"/>
      <color indexed="9"/>
      <name val="Arial Narrow"/>
      <family val="2"/>
    </font>
    <font>
      <sz val="8"/>
      <name val="Calibri"/>
      <family val="2"/>
    </font>
    <font>
      <b/>
      <sz val="8"/>
      <color indexed="60"/>
      <name val="Arial Narrow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27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499984740745262"/>
      <name val="Arial Narrow"/>
      <family val="2"/>
    </font>
    <font>
      <b/>
      <sz val="10"/>
      <color theme="1"/>
      <name val="Arial Narrow"/>
      <family val="2"/>
    </font>
    <font>
      <b/>
      <sz val="11"/>
      <color theme="4" tint="-0.499984740745262"/>
      <name val="Arial Narrow"/>
      <family val="2"/>
    </font>
    <font>
      <b/>
      <sz val="11"/>
      <color rgb="FFC000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theme="0" tint="-0.249977111117893"/>
      <name val="Arial Narrow"/>
      <family val="2"/>
    </font>
    <font>
      <b/>
      <sz val="11"/>
      <color theme="4" tint="-0.249977111117893"/>
      <name val="Calibri"/>
      <family val="2"/>
      <scheme val="minor"/>
    </font>
    <font>
      <b/>
      <sz val="10"/>
      <color theme="0"/>
      <name val="Arial Narrow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 tint="-0.249977111117893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sz val="11"/>
      <color rgb="FF000080"/>
      <name val="Arial Narrow"/>
      <family val="2"/>
    </font>
    <font>
      <sz val="11"/>
      <color rgb="FF333399"/>
      <name val="Arial Narrow"/>
      <family val="2"/>
    </font>
    <font>
      <sz val="11"/>
      <color theme="0" tint="-0.34998626667073579"/>
      <name val="Arial Narrow"/>
      <family val="2"/>
    </font>
    <font>
      <sz val="12"/>
      <color theme="0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 Narrow"/>
      <family val="2"/>
    </font>
    <font>
      <b/>
      <sz val="13"/>
      <color theme="1"/>
      <name val="Calibri"/>
      <family val="2"/>
      <scheme val="minor"/>
    </font>
    <font>
      <b/>
      <sz val="11"/>
      <color theme="3"/>
      <name val="Arial Narrow"/>
      <family val="2"/>
    </font>
    <font>
      <b/>
      <sz val="11"/>
      <color theme="0"/>
      <name val="Arial Narrow"/>
      <family val="2"/>
    </font>
    <font>
      <sz val="25"/>
      <color theme="0"/>
      <name val="Arial Narrow"/>
      <family val="2"/>
    </font>
    <font>
      <sz val="26"/>
      <color theme="0"/>
      <name val="Arial Narrow"/>
      <family val="2"/>
    </font>
    <font>
      <b/>
      <sz val="8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29"/>
      </patternFill>
    </fill>
    <fill>
      <patternFill patternType="solid">
        <fgColor theme="4" tint="0.59999389629810485"/>
        <bgColor indexed="4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45"/>
      </patternFill>
    </fill>
    <fill>
      <patternFill patternType="solid">
        <fgColor theme="5" tint="0.39997558519241921"/>
        <bgColor theme="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45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29"/>
      </patternFill>
    </fill>
    <fill>
      <patternFill patternType="solid">
        <fgColor theme="4" tint="0.59999389629810485"/>
        <bgColor indexed="42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79998168889431442"/>
        <bgColor theme="4" tint="0.79998168889431442"/>
      </patternFill>
    </fill>
  </fills>
  <borders count="9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0"/>
      </right>
      <top style="medium">
        <color indexed="60"/>
      </top>
      <bottom style="thin">
        <color indexed="9"/>
      </bottom>
      <diagonal/>
    </border>
    <border>
      <left/>
      <right style="medium">
        <color indexed="60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56"/>
      </top>
      <bottom/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6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9"/>
      </left>
      <right/>
      <top style="thin">
        <color indexed="9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indexed="6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indexed="60"/>
      </right>
      <top style="medium">
        <color rgb="FFC00000"/>
      </top>
      <bottom/>
      <diagonal/>
    </border>
    <border>
      <left style="medium">
        <color rgb="FFC00000"/>
      </left>
      <right style="medium">
        <color indexed="6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theme="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C00000"/>
      </left>
      <right/>
      <top style="thin">
        <color theme="0"/>
      </top>
      <bottom style="thin">
        <color theme="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theme="0"/>
      </bottom>
      <diagonal/>
    </border>
    <border>
      <left/>
      <right/>
      <top style="thin">
        <color rgb="FFC00000"/>
      </top>
      <bottom style="thin">
        <color theme="0"/>
      </bottom>
      <diagonal/>
    </border>
    <border>
      <left/>
      <right style="thin">
        <color theme="0"/>
      </right>
      <top style="thin">
        <color rgb="FFC00000"/>
      </top>
      <bottom style="thin">
        <color theme="0"/>
      </bottom>
      <diagonal/>
    </border>
    <border>
      <left style="thin">
        <color rgb="FFC00000"/>
      </left>
      <right/>
      <top style="thin">
        <color theme="0"/>
      </top>
      <bottom style="thin">
        <color rgb="FFC00000"/>
      </bottom>
      <diagonal/>
    </border>
    <border>
      <left/>
      <right/>
      <top style="thin">
        <color theme="0"/>
      </top>
      <bottom style="thin">
        <color rgb="FFC00000"/>
      </bottom>
      <diagonal/>
    </border>
    <border>
      <left/>
      <right style="thin">
        <color theme="0"/>
      </right>
      <top style="thin">
        <color theme="0"/>
      </top>
      <bottom style="thin">
        <color rgb="FFC00000"/>
      </bottom>
      <diagonal/>
    </border>
  </borders>
  <cellStyleXfs count="10">
    <xf numFmtId="0" fontId="0" fillId="0" borderId="0"/>
    <xf numFmtId="0" fontId="53" fillId="13" borderId="0" applyNumberFormat="0" applyBorder="0" applyAlignment="0" applyProtection="0"/>
    <xf numFmtId="0" fontId="55" fillId="14" borderId="47" applyNumberFormat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0" borderId="0"/>
    <xf numFmtId="0" fontId="45" fillId="0" borderId="0"/>
    <xf numFmtId="0" fontId="51" fillId="0" borderId="0"/>
    <xf numFmtId="9" fontId="6" fillId="0" borderId="0" applyFont="0" applyFill="0" applyBorder="0" applyAlignment="0" applyProtection="0"/>
  </cellStyleXfs>
  <cellXfs count="449">
    <xf numFmtId="0" fontId="0" fillId="0" borderId="0" xfId="0"/>
    <xf numFmtId="0" fontId="7" fillId="0" borderId="0" xfId="0" applyFont="1"/>
    <xf numFmtId="0" fontId="7" fillId="2" borderId="0" xfId="0" applyFont="1" applyFill="1"/>
    <xf numFmtId="0" fontId="7" fillId="3" borderId="0" xfId="0" applyFont="1" applyFill="1"/>
    <xf numFmtId="0" fontId="7" fillId="0" borderId="0" xfId="0" applyFont="1" applyFill="1"/>
    <xf numFmtId="0" fontId="9" fillId="2" borderId="0" xfId="0" applyFont="1" applyFill="1"/>
    <xf numFmtId="0" fontId="9" fillId="2" borderId="0" xfId="0" applyFont="1" applyFill="1" applyBorder="1" applyAlignment="1">
      <alignment horizontal="center"/>
    </xf>
    <xf numFmtId="0" fontId="7" fillId="4" borderId="0" xfId="0" applyFont="1" applyFill="1"/>
    <xf numFmtId="0" fontId="7" fillId="4" borderId="0" xfId="0" applyFont="1" applyFill="1" applyBorder="1"/>
    <xf numFmtId="0" fontId="10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 wrapText="1"/>
    </xf>
    <xf numFmtId="3" fontId="7" fillId="4" borderId="0" xfId="0" applyNumberFormat="1" applyFont="1" applyFill="1"/>
    <xf numFmtId="0" fontId="8" fillId="4" borderId="0" xfId="0" applyFont="1" applyFill="1" applyAlignment="1">
      <alignment horizontal="left"/>
    </xf>
    <xf numFmtId="0" fontId="11" fillId="4" borderId="0" xfId="0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center"/>
    </xf>
    <xf numFmtId="0" fontId="12" fillId="4" borderId="0" xfId="0" applyFont="1" applyFill="1"/>
    <xf numFmtId="0" fontId="13" fillId="4" borderId="0" xfId="0" applyFont="1" applyFill="1"/>
    <xf numFmtId="2" fontId="7" fillId="4" borderId="0" xfId="0" applyNumberFormat="1" applyFont="1" applyFill="1"/>
    <xf numFmtId="0" fontId="13" fillId="4" borderId="0" xfId="0" applyFont="1" applyFill="1" applyBorder="1"/>
    <xf numFmtId="0" fontId="10" fillId="4" borderId="0" xfId="0" applyFont="1" applyFill="1"/>
    <xf numFmtId="0" fontId="7" fillId="5" borderId="0" xfId="0" applyFont="1" applyFill="1"/>
    <xf numFmtId="44" fontId="7" fillId="4" borderId="0" xfId="0" applyNumberFormat="1" applyFont="1" applyFill="1"/>
    <xf numFmtId="9" fontId="7" fillId="4" borderId="0" xfId="0" applyNumberFormat="1" applyFont="1" applyFill="1"/>
    <xf numFmtId="0" fontId="15" fillId="5" borderId="1" xfId="0" applyFont="1" applyFill="1" applyBorder="1"/>
    <xf numFmtId="44" fontId="15" fillId="5" borderId="1" xfId="5" applyFont="1" applyFill="1" applyBorder="1"/>
    <xf numFmtId="0" fontId="8" fillId="3" borderId="1" xfId="0" applyFont="1" applyFill="1" applyBorder="1"/>
    <xf numFmtId="44" fontId="8" fillId="3" borderId="1" xfId="5" applyFont="1" applyFill="1" applyBorder="1"/>
    <xf numFmtId="44" fontId="15" fillId="5" borderId="2" xfId="5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23" fillId="2" borderId="0" xfId="0" applyFont="1" applyFill="1" applyAlignment="1">
      <alignment horizontal="left"/>
    </xf>
    <xf numFmtId="0" fontId="7" fillId="6" borderId="0" xfId="0" applyFont="1" applyFill="1"/>
    <xf numFmtId="0" fontId="30" fillId="13" borderId="9" xfId="1" applyFont="1" applyBorder="1" applyAlignment="1">
      <alignment horizontal="center" vertical="center" wrapText="1"/>
    </xf>
    <xf numFmtId="0" fontId="53" fillId="6" borderId="10" xfId="1" applyFill="1" applyBorder="1" applyAlignment="1">
      <alignment vertical="center"/>
    </xf>
    <xf numFmtId="0" fontId="53" fillId="6" borderId="9" xfId="1" applyFill="1" applyBorder="1"/>
    <xf numFmtId="0" fontId="23" fillId="2" borderId="0" xfId="0" applyFont="1" applyFill="1" applyAlignment="1"/>
    <xf numFmtId="0" fontId="1" fillId="3" borderId="1" xfId="0" applyFont="1" applyFill="1" applyBorder="1"/>
    <xf numFmtId="44" fontId="1" fillId="3" borderId="1" xfId="5" applyFont="1" applyFill="1" applyBorder="1"/>
    <xf numFmtId="3" fontId="25" fillId="4" borderId="11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44" fontId="34" fillId="4" borderId="1" xfId="5" applyFont="1" applyFill="1" applyBorder="1" applyAlignment="1">
      <alignment horizontal="center"/>
    </xf>
    <xf numFmtId="0" fontId="10" fillId="5" borderId="0" xfId="0" applyFont="1" applyFill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7" fillId="4" borderId="0" xfId="0" applyFont="1" applyFill="1" applyAlignment="1"/>
    <xf numFmtId="3" fontId="24" fillId="15" borderId="49" xfId="0" applyNumberFormat="1" applyFont="1" applyFill="1" applyBorder="1" applyAlignment="1">
      <alignment horizontal="center"/>
    </xf>
    <xf numFmtId="3" fontId="19" fillId="15" borderId="49" xfId="0" applyNumberFormat="1" applyFont="1" applyFill="1" applyBorder="1" applyAlignment="1">
      <alignment horizontal="center"/>
    </xf>
    <xf numFmtId="3" fontId="7" fillId="16" borderId="0" xfId="0" applyNumberFormat="1" applyFont="1" applyFill="1"/>
    <xf numFmtId="3" fontId="15" fillId="16" borderId="0" xfId="0" applyNumberFormat="1" applyFont="1" applyFill="1" applyAlignment="1">
      <alignment horizontal="right"/>
    </xf>
    <xf numFmtId="3" fontId="15" fillId="16" borderId="0" xfId="0" applyNumberFormat="1" applyFont="1" applyFill="1" applyAlignment="1"/>
    <xf numFmtId="3" fontId="15" fillId="16" borderId="13" xfId="0" applyNumberFormat="1" applyFont="1" applyFill="1" applyBorder="1" applyAlignment="1"/>
    <xf numFmtId="0" fontId="7" fillId="16" borderId="0" xfId="0" applyFont="1" applyFill="1"/>
    <xf numFmtId="3" fontId="27" fillId="16" borderId="0" xfId="0" applyNumberFormat="1" applyFont="1" applyFill="1" applyAlignment="1">
      <alignment horizontal="right"/>
    </xf>
    <xf numFmtId="3" fontId="59" fillId="15" borderId="49" xfId="0" applyNumberFormat="1" applyFont="1" applyFill="1" applyBorder="1" applyAlignment="1">
      <alignment horizontal="center"/>
    </xf>
    <xf numFmtId="0" fontId="25" fillId="4" borderId="0" xfId="0" applyFont="1" applyFill="1" applyAlignment="1">
      <alignment horizontal="right"/>
    </xf>
    <xf numFmtId="44" fontId="34" fillId="4" borderId="0" xfId="5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15" fillId="17" borderId="1" xfId="0" applyFont="1" applyFill="1" applyBorder="1"/>
    <xf numFmtId="0" fontId="15" fillId="17" borderId="15" xfId="0" applyFont="1" applyFill="1" applyBorder="1"/>
    <xf numFmtId="0" fontId="5" fillId="17" borderId="16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 wrapText="1"/>
    </xf>
    <xf numFmtId="167" fontId="13" fillId="18" borderId="14" xfId="5" applyNumberFormat="1" applyFont="1" applyFill="1" applyBorder="1" applyAlignment="1">
      <alignment horizontal="center"/>
    </xf>
    <xf numFmtId="44" fontId="15" fillId="19" borderId="1" xfId="5" applyFont="1" applyFill="1" applyBorder="1" applyAlignment="1">
      <alignment horizontal="center"/>
    </xf>
    <xf numFmtId="44" fontId="32" fillId="16" borderId="12" xfId="5" applyFont="1" applyFill="1" applyBorder="1" applyAlignment="1">
      <alignment horizontal="center" vertical="center"/>
    </xf>
    <xf numFmtId="0" fontId="16" fillId="20" borderId="17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/>
    <xf numFmtId="0" fontId="1" fillId="21" borderId="11" xfId="0" applyFont="1" applyFill="1" applyBorder="1" applyAlignment="1">
      <alignment vertical="center"/>
    </xf>
    <xf numFmtId="0" fontId="29" fillId="21" borderId="18" xfId="0" applyFont="1" applyFill="1" applyBorder="1" applyAlignment="1">
      <alignment horizontal="center" vertical="center"/>
    </xf>
    <xf numFmtId="0" fontId="15" fillId="22" borderId="50" xfId="0" applyFont="1" applyFill="1" applyBorder="1" applyAlignment="1"/>
    <xf numFmtId="44" fontId="15" fillId="22" borderId="50" xfId="0" applyNumberFormat="1" applyFont="1" applyFill="1" applyBorder="1" applyAlignment="1"/>
    <xf numFmtId="165" fontId="15" fillId="22" borderId="50" xfId="9" applyNumberFormat="1" applyFont="1" applyFill="1" applyBorder="1" applyAlignment="1">
      <alignment horizontal="center"/>
    </xf>
    <xf numFmtId="44" fontId="15" fillId="22" borderId="50" xfId="5" applyFont="1" applyFill="1" applyBorder="1" applyAlignment="1"/>
    <xf numFmtId="10" fontId="15" fillId="22" borderId="50" xfId="5" applyNumberFormat="1" applyFont="1" applyFill="1" applyBorder="1" applyAlignment="1">
      <alignment horizontal="center"/>
    </xf>
    <xf numFmtId="0" fontId="54" fillId="23" borderId="0" xfId="0" applyFont="1" applyFill="1" applyAlignment="1">
      <alignment horizontal="center" vertical="center"/>
    </xf>
    <xf numFmtId="0" fontId="54" fillId="23" borderId="0" xfId="0" applyFont="1" applyFill="1" applyAlignment="1">
      <alignment vertical="center"/>
    </xf>
    <xf numFmtId="0" fontId="56" fillId="23" borderId="0" xfId="0" applyFont="1" applyFill="1" applyAlignment="1">
      <alignment horizontal="center" vertical="center"/>
    </xf>
    <xf numFmtId="0" fontId="56" fillId="23" borderId="0" xfId="0" applyFont="1" applyFill="1" applyAlignment="1">
      <alignment horizontal="right" vertical="center"/>
    </xf>
    <xf numFmtId="44" fontId="58" fillId="24" borderId="0" xfId="5" applyFont="1" applyFill="1" applyAlignment="1">
      <alignment vertical="center"/>
    </xf>
    <xf numFmtId="44" fontId="10" fillId="18" borderId="19" xfId="5" applyFont="1" applyFill="1" applyBorder="1" applyAlignment="1">
      <alignment horizontal="right" vertical="center" wrapText="1"/>
    </xf>
    <xf numFmtId="44" fontId="10" fillId="24" borderId="19" xfId="5" applyFont="1" applyFill="1" applyBorder="1" applyAlignment="1">
      <alignment horizontal="right" vertical="center" wrapText="1"/>
    </xf>
    <xf numFmtId="44" fontId="10" fillId="17" borderId="19" xfId="5" applyFont="1" applyFill="1" applyBorder="1" applyAlignment="1">
      <alignment horizontal="right" vertical="center" wrapText="1"/>
    </xf>
    <xf numFmtId="44" fontId="11" fillId="24" borderId="19" xfId="5" applyFont="1" applyFill="1" applyBorder="1" applyAlignment="1">
      <alignment horizontal="right" vertical="center" wrapText="1"/>
    </xf>
    <xf numFmtId="0" fontId="4" fillId="25" borderId="0" xfId="0" applyFont="1" applyFill="1" applyAlignment="1">
      <alignment horizontal="left"/>
    </xf>
    <xf numFmtId="0" fontId="8" fillId="25" borderId="0" xfId="0" applyFont="1" applyFill="1" applyAlignment="1">
      <alignment horizontal="left"/>
    </xf>
    <xf numFmtId="0" fontId="8" fillId="26" borderId="0" xfId="0" applyFont="1" applyFill="1" applyAlignment="1">
      <alignment horizontal="left"/>
    </xf>
    <xf numFmtId="0" fontId="4" fillId="26" borderId="0" xfId="0" applyFont="1" applyFill="1" applyAlignment="1">
      <alignment horizontal="left"/>
    </xf>
    <xf numFmtId="0" fontId="60" fillId="26" borderId="0" xfId="0" applyFont="1" applyFill="1" applyAlignment="1">
      <alignment horizontal="left"/>
    </xf>
    <xf numFmtId="0" fontId="7" fillId="27" borderId="0" xfId="0" applyFont="1" applyFill="1"/>
    <xf numFmtId="0" fontId="1" fillId="27" borderId="0" xfId="0" applyFont="1" applyFill="1" applyAlignment="1">
      <alignment horizontal="left"/>
    </xf>
    <xf numFmtId="0" fontId="7" fillId="15" borderId="0" xfId="0" applyFont="1" applyFill="1" applyBorder="1"/>
    <xf numFmtId="0" fontId="2" fillId="4" borderId="20" xfId="0" applyFont="1" applyFill="1" applyBorder="1" applyAlignment="1">
      <alignment horizontal="right" vertical="center"/>
    </xf>
    <xf numFmtId="0" fontId="31" fillId="15" borderId="0" xfId="0" applyFont="1" applyFill="1" applyBorder="1" applyAlignment="1">
      <alignment horizontal="right"/>
    </xf>
    <xf numFmtId="3" fontId="3" fillId="4" borderId="21" xfId="0" applyNumberFormat="1" applyFont="1" applyFill="1" applyBorder="1" applyAlignment="1">
      <alignment horizontal="center" vertical="center" wrapText="1"/>
    </xf>
    <xf numFmtId="3" fontId="61" fillId="15" borderId="49" xfId="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center" vertical="center" wrapText="1"/>
    </xf>
    <xf numFmtId="3" fontId="62" fillId="0" borderId="1" xfId="0" applyNumberFormat="1" applyFont="1" applyFill="1" applyBorder="1" applyAlignment="1">
      <alignment horizontal="center" vertical="center" wrapText="1"/>
    </xf>
    <xf numFmtId="3" fontId="63" fillId="0" borderId="1" xfId="0" applyNumberFormat="1" applyFont="1" applyFill="1" applyBorder="1" applyAlignment="1">
      <alignment horizontal="center" vertical="center" wrapText="1"/>
    </xf>
    <xf numFmtId="3" fontId="62" fillId="0" borderId="15" xfId="0" applyNumberFormat="1" applyFont="1" applyFill="1" applyBorder="1" applyAlignment="1">
      <alignment horizontal="center" vertical="center" wrapText="1"/>
    </xf>
    <xf numFmtId="3" fontId="62" fillId="0" borderId="51" xfId="0" applyNumberFormat="1" applyFont="1" applyFill="1" applyBorder="1" applyAlignment="1">
      <alignment horizontal="center" vertical="center" wrapText="1"/>
    </xf>
    <xf numFmtId="3" fontId="62" fillId="0" borderId="52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 wrapText="1"/>
    </xf>
    <xf numFmtId="3" fontId="63" fillId="0" borderId="2" xfId="0" applyNumberFormat="1" applyFont="1" applyFill="1" applyBorder="1" applyAlignment="1">
      <alignment horizontal="center" vertical="center" wrapText="1"/>
    </xf>
    <xf numFmtId="3" fontId="62" fillId="0" borderId="53" xfId="0" applyNumberFormat="1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3" fontId="17" fillId="15" borderId="49" xfId="0" applyNumberFormat="1" applyFont="1" applyFill="1" applyBorder="1" applyAlignment="1" applyProtection="1">
      <alignment horizontal="center" vertical="center" wrapText="1"/>
    </xf>
    <xf numFmtId="0" fontId="56" fillId="28" borderId="47" xfId="2" applyFont="1" applyFill="1" applyAlignment="1">
      <alignment horizontal="center"/>
    </xf>
    <xf numFmtId="168" fontId="7" fillId="4" borderId="0" xfId="0" applyNumberFormat="1" applyFont="1" applyFill="1"/>
    <xf numFmtId="0" fontId="64" fillId="4" borderId="0" xfId="0" applyFont="1" applyFill="1"/>
    <xf numFmtId="0" fontId="10" fillId="4" borderId="0" xfId="0" applyFont="1" applyFill="1" applyAlignment="1"/>
    <xf numFmtId="3" fontId="0" fillId="29" borderId="0" xfId="0" applyNumberFormat="1" applyFill="1" applyAlignment="1">
      <alignment horizontal="center"/>
    </xf>
    <xf numFmtId="3" fontId="0" fillId="30" borderId="0" xfId="0" applyNumberFormat="1" applyFill="1" applyAlignment="1">
      <alignment horizontal="center"/>
    </xf>
    <xf numFmtId="3" fontId="0" fillId="31" borderId="0" xfId="0" applyNumberFormat="1" applyFill="1" applyAlignment="1">
      <alignment horizontal="center"/>
    </xf>
    <xf numFmtId="3" fontId="0" fillId="15" borderId="0" xfId="0" applyNumberFormat="1" applyFill="1" applyAlignment="1">
      <alignment horizontal="center"/>
    </xf>
    <xf numFmtId="3" fontId="0" fillId="32" borderId="0" xfId="0" applyNumberFormat="1" applyFill="1" applyAlignment="1">
      <alignment horizontal="center"/>
    </xf>
    <xf numFmtId="3" fontId="0" fillId="18" borderId="0" xfId="0" applyNumberFormat="1" applyFill="1" applyAlignment="1">
      <alignment horizontal="center"/>
    </xf>
    <xf numFmtId="3" fontId="0" fillId="19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3" fontId="54" fillId="34" borderId="0" xfId="0" applyNumberFormat="1" applyFont="1" applyFill="1" applyAlignment="1">
      <alignment horizontal="center"/>
    </xf>
    <xf numFmtId="44" fontId="34" fillId="4" borderId="1" xfId="5" applyFont="1" applyFill="1" applyBorder="1" applyAlignment="1">
      <alignment horizontal="left"/>
    </xf>
    <xf numFmtId="3" fontId="63" fillId="0" borderId="22" xfId="0" applyNumberFormat="1" applyFont="1" applyFill="1" applyBorder="1" applyAlignment="1">
      <alignment horizontal="center" vertical="center" wrapText="1"/>
    </xf>
    <xf numFmtId="3" fontId="63" fillId="0" borderId="23" xfId="0" applyNumberFormat="1" applyFont="1" applyFill="1" applyBorder="1" applyAlignment="1">
      <alignment horizontal="center" vertical="center" wrapText="1"/>
    </xf>
    <xf numFmtId="3" fontId="62" fillId="0" borderId="54" xfId="0" applyNumberFormat="1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right"/>
    </xf>
    <xf numFmtId="1" fontId="65" fillId="16" borderId="47" xfId="2" applyNumberFormat="1" applyFont="1" applyFill="1" applyAlignment="1">
      <alignment horizontal="center"/>
    </xf>
    <xf numFmtId="164" fontId="19" fillId="15" borderId="49" xfId="0" applyNumberFormat="1" applyFont="1" applyFill="1" applyBorder="1" applyAlignment="1">
      <alignment horizontal="center"/>
    </xf>
    <xf numFmtId="164" fontId="7" fillId="4" borderId="0" xfId="0" applyNumberFormat="1" applyFont="1" applyFill="1" applyAlignment="1"/>
    <xf numFmtId="0" fontId="66" fillId="35" borderId="0" xfId="0" applyFont="1" applyFill="1" applyBorder="1" applyAlignment="1">
      <alignment horizontal="center"/>
    </xf>
    <xf numFmtId="0" fontId="15" fillId="17" borderId="23" xfId="0" applyFont="1" applyFill="1" applyBorder="1"/>
    <xf numFmtId="3" fontId="62" fillId="0" borderId="55" xfId="0" applyNumberFormat="1" applyFont="1" applyFill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0" fillId="0" borderId="0" xfId="0"/>
    <xf numFmtId="0" fontId="28" fillId="13" borderId="9" xfId="1" applyFont="1" applyBorder="1" applyAlignment="1">
      <alignment horizontal="left" vertical="center" wrapText="1"/>
    </xf>
    <xf numFmtId="0" fontId="53" fillId="13" borderId="9" xfId="1" applyBorder="1" applyAlignment="1">
      <alignment horizontal="left" vertical="center" wrapText="1"/>
    </xf>
    <xf numFmtId="0" fontId="28" fillId="13" borderId="24" xfId="1" applyFont="1" applyBorder="1" applyAlignment="1">
      <alignment horizontal="left" vertical="center" wrapText="1"/>
    </xf>
    <xf numFmtId="0" fontId="53" fillId="13" borderId="25" xfId="1" applyBorder="1" applyAlignment="1">
      <alignment horizontal="left" vertical="center" wrapText="1"/>
    </xf>
    <xf numFmtId="0" fontId="53" fillId="13" borderId="10" xfId="1" applyBorder="1" applyAlignment="1">
      <alignment horizontal="left" vertical="center" wrapText="1"/>
    </xf>
    <xf numFmtId="0" fontId="28" fillId="13" borderId="24" xfId="1" applyFont="1" applyBorder="1" applyAlignment="1">
      <alignment horizontal="left" vertical="center"/>
    </xf>
    <xf numFmtId="0" fontId="53" fillId="13" borderId="25" xfId="1" applyBorder="1" applyAlignment="1">
      <alignment horizontal="left" vertical="center"/>
    </xf>
    <xf numFmtId="169" fontId="0" fillId="0" borderId="0" xfId="0" applyNumberFormat="1" applyAlignment="1">
      <alignment horizontal="center"/>
    </xf>
    <xf numFmtId="4" fontId="0" fillId="0" borderId="0" xfId="0" applyNumberFormat="1" applyFill="1"/>
    <xf numFmtId="0" fontId="0" fillId="0" borderId="0" xfId="0" applyFill="1"/>
    <xf numFmtId="0" fontId="39" fillId="4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169" fontId="42" fillId="10" borderId="0" xfId="0" applyNumberFormat="1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4" fontId="42" fillId="10" borderId="0" xfId="0" applyNumberFormat="1" applyFont="1" applyFill="1" applyAlignment="1">
      <alignment horizontal="center" vertical="center" wrapText="1"/>
    </xf>
    <xf numFmtId="0" fontId="42" fillId="11" borderId="0" xfId="0" applyFont="1" applyFill="1" applyAlignment="1">
      <alignment horizontal="center" vertical="center" wrapText="1"/>
    </xf>
    <xf numFmtId="0" fontId="43" fillId="10" borderId="0" xfId="0" applyFont="1" applyFill="1" applyAlignment="1">
      <alignment horizontal="center" vertical="center" wrapText="1"/>
    </xf>
    <xf numFmtId="0" fontId="42" fillId="9" borderId="0" xfId="0" applyFont="1" applyFill="1" applyAlignment="1">
      <alignment horizontal="center" vertical="center" wrapText="1"/>
    </xf>
    <xf numFmtId="0" fontId="0" fillId="36" borderId="0" xfId="0" applyFill="1"/>
    <xf numFmtId="0" fontId="44" fillId="36" borderId="0" xfId="0" applyFont="1" applyFill="1" applyAlignment="1">
      <alignment horizontal="left"/>
    </xf>
    <xf numFmtId="169" fontId="0" fillId="36" borderId="0" xfId="0" applyNumberFormat="1" applyFill="1" applyAlignment="1">
      <alignment horizontal="center"/>
    </xf>
    <xf numFmtId="0" fontId="44" fillId="36" borderId="0" xfId="0" applyFont="1" applyFill="1"/>
    <xf numFmtId="4" fontId="0" fillId="36" borderId="0" xfId="0" applyNumberFormat="1" applyFill="1"/>
    <xf numFmtId="169" fontId="0" fillId="0" borderId="0" xfId="0" applyNumberFormat="1" applyFill="1" applyAlignment="1">
      <alignment horizontal="center"/>
    </xf>
    <xf numFmtId="8" fontId="7" fillId="4" borderId="0" xfId="0" applyNumberFormat="1" applyFont="1" applyFill="1"/>
    <xf numFmtId="0" fontId="0" fillId="36" borderId="57" xfId="0" applyFill="1" applyBorder="1" applyAlignment="1">
      <alignment vertical="center"/>
    </xf>
    <xf numFmtId="0" fontId="58" fillId="36" borderId="57" xfId="0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5" fillId="22" borderId="50" xfId="0" applyFont="1" applyFill="1" applyBorder="1" applyAlignment="1">
      <alignment horizontal="left" vertical="center"/>
    </xf>
    <xf numFmtId="0" fontId="15" fillId="22" borderId="58" xfId="0" applyFont="1" applyFill="1" applyBorder="1" applyAlignment="1">
      <alignment horizontal="left" vertical="center"/>
    </xf>
    <xf numFmtId="44" fontId="15" fillId="22" borderId="50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4" fontId="7" fillId="0" borderId="0" xfId="5" applyFont="1"/>
    <xf numFmtId="44" fontId="7" fillId="0" borderId="0" xfId="0" applyNumberFormat="1" applyFont="1"/>
    <xf numFmtId="169" fontId="7" fillId="0" borderId="0" xfId="0" applyNumberFormat="1" applyFont="1"/>
    <xf numFmtId="3" fontId="7" fillId="0" borderId="0" xfId="0" applyNumberFormat="1" applyFont="1"/>
    <xf numFmtId="0" fontId="7" fillId="0" borderId="0" xfId="0" applyNumberFormat="1" applyFont="1"/>
    <xf numFmtId="0" fontId="7" fillId="0" borderId="0" xfId="5" applyNumberFormat="1" applyFont="1"/>
    <xf numFmtId="1" fontId="7" fillId="0" borderId="0" xfId="5" applyNumberFormat="1" applyFont="1"/>
    <xf numFmtId="1" fontId="7" fillId="0" borderId="0" xfId="0" applyNumberFormat="1" applyFont="1"/>
    <xf numFmtId="0" fontId="0" fillId="0" borderId="0" xfId="0"/>
    <xf numFmtId="0" fontId="0" fillId="37" borderId="19" xfId="0" applyFont="1" applyFill="1" applyBorder="1" applyAlignment="1">
      <alignment horizontal="center"/>
    </xf>
    <xf numFmtId="0" fontId="7" fillId="36" borderId="3" xfId="0" applyFont="1" applyFill="1" applyBorder="1"/>
    <xf numFmtId="0" fontId="7" fillId="36" borderId="4" xfId="0" applyFont="1" applyFill="1" applyBorder="1"/>
    <xf numFmtId="0" fontId="7" fillId="36" borderId="7" xfId="0" applyFont="1" applyFill="1" applyBorder="1"/>
    <xf numFmtId="0" fontId="7" fillId="36" borderId="8" xfId="0" applyFont="1" applyFill="1" applyBorder="1"/>
    <xf numFmtId="0" fontId="0" fillId="38" borderId="0" xfId="0" applyFill="1"/>
    <xf numFmtId="0" fontId="44" fillId="38" borderId="0" xfId="0" applyFont="1" applyFill="1" applyAlignment="1">
      <alignment horizontal="left"/>
    </xf>
    <xf numFmtId="0" fontId="44" fillId="38" borderId="0" xfId="0" applyFont="1" applyFill="1"/>
    <xf numFmtId="43" fontId="0" fillId="38" borderId="0" xfId="0" applyNumberFormat="1" applyFill="1" applyAlignment="1">
      <alignment vertical="center"/>
    </xf>
    <xf numFmtId="169" fontId="0" fillId="38" borderId="0" xfId="0" applyNumberFormat="1" applyFill="1" applyAlignment="1">
      <alignment horizontal="center"/>
    </xf>
    <xf numFmtId="4" fontId="0" fillId="38" borderId="0" xfId="0" applyNumberFormat="1" applyFill="1"/>
    <xf numFmtId="0" fontId="0" fillId="0" borderId="0" xfId="0" applyFill="1" applyAlignment="1">
      <alignment vertical="center"/>
    </xf>
    <xf numFmtId="0" fontId="39" fillId="0" borderId="0" xfId="0" applyFont="1" applyFill="1" applyAlignment="1">
      <alignment horizontal="center" vertical="center" wrapText="1"/>
    </xf>
    <xf numFmtId="0" fontId="58" fillId="38" borderId="0" xfId="0" applyFont="1" applyFill="1" applyAlignment="1">
      <alignment horizontal="right" vertical="center"/>
    </xf>
    <xf numFmtId="0" fontId="67" fillId="38" borderId="0" xfId="0" applyFont="1" applyFill="1" applyBorder="1" applyAlignment="1">
      <alignment vertical="center" wrapText="1"/>
    </xf>
    <xf numFmtId="0" fontId="58" fillId="38" borderId="0" xfId="0" applyFont="1" applyFill="1" applyAlignment="1">
      <alignment horizontal="right" wrapText="1"/>
    </xf>
    <xf numFmtId="178" fontId="7" fillId="0" borderId="0" xfId="0" applyNumberFormat="1" applyFont="1"/>
    <xf numFmtId="0" fontId="0" fillId="36" borderId="0" xfId="0" applyFill="1"/>
    <xf numFmtId="44" fontId="68" fillId="25" borderId="19" xfId="5" applyFont="1" applyFill="1" applyBorder="1"/>
    <xf numFmtId="0" fontId="69" fillId="38" borderId="0" xfId="0" applyFont="1" applyFill="1"/>
    <xf numFmtId="44" fontId="68" fillId="25" borderId="19" xfId="0" applyNumberFormat="1" applyFont="1" applyFill="1" applyBorder="1"/>
    <xf numFmtId="170" fontId="68" fillId="25" borderId="19" xfId="0" applyNumberFormat="1" applyFont="1" applyFill="1" applyBorder="1"/>
    <xf numFmtId="44" fontId="68" fillId="37" borderId="19" xfId="5" applyFont="1" applyFill="1" applyBorder="1"/>
    <xf numFmtId="44" fontId="0" fillId="25" borderId="19" xfId="0" applyNumberFormat="1" applyFill="1" applyBorder="1" applyAlignment="1">
      <alignment vertical="center"/>
    </xf>
    <xf numFmtId="167" fontId="45" fillId="25" borderId="19" xfId="5" applyNumberFormat="1" applyFont="1" applyFill="1" applyBorder="1" applyAlignment="1">
      <alignment vertical="center"/>
    </xf>
    <xf numFmtId="169" fontId="0" fillId="25" borderId="19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13" fillId="17" borderId="26" xfId="0" applyFont="1" applyFill="1" applyBorder="1"/>
    <xf numFmtId="44" fontId="0" fillId="25" borderId="0" xfId="0" applyNumberFormat="1" applyFont="1" applyFill="1"/>
    <xf numFmtId="44" fontId="0" fillId="0" borderId="0" xfId="0" applyNumberFormat="1" applyFill="1"/>
    <xf numFmtId="9" fontId="68" fillId="25" borderId="19" xfId="9" applyNumberFormat="1" applyFont="1" applyFill="1" applyBorder="1" applyAlignment="1">
      <alignment horizontal="center"/>
    </xf>
    <xf numFmtId="0" fontId="70" fillId="38" borderId="0" xfId="0" applyFont="1" applyFill="1"/>
    <xf numFmtId="0" fontId="58" fillId="25" borderId="0" xfId="0" applyFont="1" applyFill="1"/>
    <xf numFmtId="181" fontId="71" fillId="25" borderId="0" xfId="0" applyNumberFormat="1" applyFont="1" applyFill="1"/>
    <xf numFmtId="0" fontId="72" fillId="4" borderId="0" xfId="0" applyFont="1" applyFill="1"/>
    <xf numFmtId="44" fontId="50" fillId="37" borderId="0" xfId="5" applyFont="1" applyFill="1" applyBorder="1"/>
    <xf numFmtId="44" fontId="56" fillId="23" borderId="0" xfId="5" applyFont="1" applyFill="1" applyAlignment="1">
      <alignment horizontal="right" vertical="center"/>
    </xf>
    <xf numFmtId="0" fontId="34" fillId="15" borderId="1" xfId="5" applyNumberFormat="1" applyFont="1" applyFill="1" applyBorder="1" applyAlignment="1">
      <alignment horizontal="center"/>
    </xf>
    <xf numFmtId="0" fontId="73" fillId="3" borderId="0" xfId="0" applyFont="1" applyFill="1"/>
    <xf numFmtId="0" fontId="73" fillId="4" borderId="0" xfId="0" applyFont="1" applyFill="1"/>
    <xf numFmtId="0" fontId="74" fillId="4" borderId="0" xfId="0" applyFont="1" applyFill="1"/>
    <xf numFmtId="43" fontId="74" fillId="4" borderId="0" xfId="3" applyFont="1" applyFill="1"/>
    <xf numFmtId="0" fontId="73" fillId="2" borderId="0" xfId="0" applyFont="1" applyFill="1"/>
    <xf numFmtId="43" fontId="73" fillId="2" borderId="0" xfId="3" applyFont="1" applyFill="1"/>
    <xf numFmtId="44" fontId="73" fillId="4" borderId="0" xfId="0" applyNumberFormat="1" applyFont="1" applyFill="1"/>
    <xf numFmtId="44" fontId="74" fillId="4" borderId="0" xfId="0" applyNumberFormat="1" applyFont="1" applyFill="1"/>
    <xf numFmtId="0" fontId="75" fillId="2" borderId="0" xfId="0" applyFont="1" applyFill="1"/>
    <xf numFmtId="0" fontId="76" fillId="3" borderId="0" xfId="0" applyFont="1" applyFill="1"/>
    <xf numFmtId="0" fontId="77" fillId="0" borderId="0" xfId="0" applyFont="1"/>
    <xf numFmtId="0" fontId="7" fillId="39" borderId="0" xfId="0" applyFont="1" applyFill="1"/>
    <xf numFmtId="0" fontId="77" fillId="39" borderId="0" xfId="0" applyFont="1" applyFill="1"/>
    <xf numFmtId="0" fontId="0" fillId="0" borderId="0" xfId="0"/>
    <xf numFmtId="0" fontId="15" fillId="36" borderId="49" xfId="0" applyFont="1" applyFill="1" applyBorder="1" applyAlignment="1" applyProtection="1">
      <alignment horizontal="center"/>
    </xf>
    <xf numFmtId="44" fontId="15" fillId="40" borderId="50" xfId="5" applyFont="1" applyFill="1" applyBorder="1" applyAlignment="1" applyProtection="1"/>
    <xf numFmtId="49" fontId="0" fillId="0" borderId="0" xfId="0" applyNumberFormat="1" applyFill="1"/>
    <xf numFmtId="0" fontId="78" fillId="36" borderId="0" xfId="0" applyFont="1" applyFill="1" applyAlignment="1">
      <alignment horizontal="right"/>
    </xf>
    <xf numFmtId="0" fontId="18" fillId="4" borderId="0" xfId="0" applyFont="1" applyFill="1" applyAlignment="1">
      <alignment wrapText="1"/>
    </xf>
    <xf numFmtId="4" fontId="0" fillId="0" borderId="11" xfId="0" applyNumberFormat="1" applyFill="1" applyBorder="1"/>
    <xf numFmtId="4" fontId="0" fillId="0" borderId="27" xfId="0" applyNumberFormat="1" applyFill="1" applyBorder="1"/>
    <xf numFmtId="0" fontId="13" fillId="17" borderId="26" xfId="0" applyFont="1" applyFill="1" applyBorder="1" applyAlignment="1">
      <alignment horizontal="center"/>
    </xf>
    <xf numFmtId="0" fontId="15" fillId="17" borderId="23" xfId="0" applyFont="1" applyFill="1" applyBorder="1" applyAlignment="1">
      <alignment horizontal="center" vertical="center"/>
    </xf>
    <xf numFmtId="0" fontId="15" fillId="17" borderId="1" xfId="0" applyFont="1" applyFill="1" applyBorder="1" applyProtection="1"/>
    <xf numFmtId="0" fontId="79" fillId="0" borderId="28" xfId="0" applyFont="1" applyBorder="1" applyAlignment="1">
      <alignment horizontal="center" vertical="center" wrapText="1"/>
    </xf>
    <xf numFmtId="0" fontId="80" fillId="0" borderId="28" xfId="0" applyFont="1" applyFill="1" applyBorder="1"/>
    <xf numFmtId="0" fontId="79" fillId="41" borderId="59" xfId="0" applyFont="1" applyFill="1" applyBorder="1" applyAlignment="1">
      <alignment horizontal="center" vertical="center" wrapText="1"/>
    </xf>
    <xf numFmtId="169" fontId="68" fillId="0" borderId="0" xfId="0" applyNumberFormat="1" applyFont="1"/>
    <xf numFmtId="0" fontId="68" fillId="0" borderId="0" xfId="0" applyFont="1" applyFill="1"/>
    <xf numFmtId="185" fontId="68" fillId="41" borderId="60" xfId="0" applyNumberFormat="1" applyFont="1" applyFill="1" applyBorder="1" applyAlignment="1">
      <alignment horizontal="center" vertical="center"/>
    </xf>
    <xf numFmtId="185" fontId="81" fillId="41" borderId="61" xfId="0" applyNumberFormat="1" applyFont="1" applyFill="1" applyBorder="1" applyAlignment="1">
      <alignment horizontal="center" vertical="center"/>
    </xf>
    <xf numFmtId="1" fontId="68" fillId="0" borderId="0" xfId="0" applyNumberFormat="1" applyFont="1" applyAlignment="1">
      <alignment horizontal="center" vertical="center"/>
    </xf>
    <xf numFmtId="8" fontId="68" fillId="41" borderId="60" xfId="0" applyNumberFormat="1" applyFont="1" applyFill="1" applyBorder="1"/>
    <xf numFmtId="8" fontId="81" fillId="41" borderId="61" xfId="0" applyNumberFormat="1" applyFont="1" applyFill="1" applyBorder="1"/>
    <xf numFmtId="8" fontId="13" fillId="17" borderId="22" xfId="5" applyNumberFormat="1" applyFont="1" applyFill="1" applyBorder="1"/>
    <xf numFmtId="8" fontId="15" fillId="17" borderId="22" xfId="5" applyNumberFormat="1" applyFont="1" applyFill="1" applyBorder="1"/>
    <xf numFmtId="0" fontId="0" fillId="0" borderId="0" xfId="0"/>
    <xf numFmtId="0" fontId="82" fillId="0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Fill="1" applyAlignment="1">
      <alignment horizontal="center"/>
    </xf>
    <xf numFmtId="44" fontId="32" fillId="16" borderId="12" xfId="5" applyFont="1" applyFill="1" applyBorder="1" applyAlignment="1" applyProtection="1">
      <alignment horizontal="center" vertical="center"/>
    </xf>
    <xf numFmtId="0" fontId="0" fillId="0" borderId="0" xfId="0"/>
    <xf numFmtId="0" fontId="0" fillId="36" borderId="0" xfId="0" applyFill="1"/>
    <xf numFmtId="0" fontId="5" fillId="42" borderId="62" xfId="0" applyFont="1" applyFill="1" applyBorder="1" applyAlignment="1">
      <alignment horizontal="center"/>
    </xf>
    <xf numFmtId="3" fontId="62" fillId="42" borderId="49" xfId="0" applyNumberFormat="1" applyFont="1" applyFill="1" applyBorder="1" applyAlignment="1">
      <alignment horizontal="center" vertical="center" wrapText="1"/>
    </xf>
    <xf numFmtId="3" fontId="62" fillId="42" borderId="49" xfId="0" applyNumberFormat="1" applyFont="1" applyFill="1" applyBorder="1" applyAlignment="1" applyProtection="1">
      <alignment horizontal="center" vertical="center" wrapText="1"/>
    </xf>
    <xf numFmtId="3" fontId="21" fillId="42" borderId="49" xfId="0" applyNumberFormat="1" applyFont="1" applyFill="1" applyBorder="1" applyAlignment="1">
      <alignment horizontal="center"/>
    </xf>
    <xf numFmtId="3" fontId="19" fillId="42" borderId="49" xfId="0" applyNumberFormat="1" applyFont="1" applyFill="1" applyBorder="1" applyAlignment="1">
      <alignment horizontal="center"/>
    </xf>
    <xf numFmtId="44" fontId="10" fillId="42" borderId="12" xfId="5" applyFont="1" applyFill="1" applyBorder="1" applyAlignment="1">
      <alignment horizontal="center" vertical="center" wrapText="1"/>
    </xf>
    <xf numFmtId="165" fontId="15" fillId="42" borderId="12" xfId="0" applyNumberFormat="1" applyFont="1" applyFill="1" applyBorder="1" applyAlignment="1">
      <alignment horizontal="left" vertical="center" wrapText="1" indent="1"/>
    </xf>
    <xf numFmtId="165" fontId="15" fillId="42" borderId="12" xfId="0" applyNumberFormat="1" applyFont="1" applyFill="1" applyBorder="1" applyAlignment="1" applyProtection="1">
      <alignment horizontal="left" vertical="center" wrapText="1" indent="1"/>
    </xf>
    <xf numFmtId="165" fontId="20" fillId="42" borderId="12" xfId="0" applyNumberFormat="1" applyFont="1" applyFill="1" applyBorder="1" applyAlignment="1">
      <alignment horizontal="left" vertical="center" wrapText="1" indent="2"/>
    </xf>
    <xf numFmtId="0" fontId="15" fillId="17" borderId="29" xfId="0" applyFont="1" applyFill="1" applyBorder="1"/>
    <xf numFmtId="44" fontId="34" fillId="4" borderId="23" xfId="5" applyFont="1" applyFill="1" applyBorder="1" applyAlignment="1" applyProtection="1">
      <alignment horizontal="center"/>
    </xf>
    <xf numFmtId="0" fontId="33" fillId="17" borderId="14" xfId="0" applyFont="1" applyFill="1" applyBorder="1" applyAlignment="1">
      <alignment horizontal="center" vertical="center" wrapText="1"/>
    </xf>
    <xf numFmtId="44" fontId="15" fillId="33" borderId="30" xfId="5" applyFont="1" applyFill="1" applyBorder="1" applyAlignment="1">
      <alignment horizontal="center"/>
    </xf>
    <xf numFmtId="44" fontId="15" fillId="33" borderId="31" xfId="5" applyFont="1" applyFill="1" applyBorder="1" applyAlignment="1">
      <alignment horizontal="center"/>
    </xf>
    <xf numFmtId="0" fontId="15" fillId="5" borderId="2" xfId="0" applyFont="1" applyFill="1" applyBorder="1"/>
    <xf numFmtId="44" fontId="15" fillId="43" borderId="50" xfId="5" applyFont="1" applyFill="1" applyBorder="1" applyAlignment="1" applyProtection="1"/>
    <xf numFmtId="44" fontId="10" fillId="42" borderId="19" xfId="5" applyFont="1" applyFill="1" applyBorder="1" applyAlignment="1" applyProtection="1">
      <alignment horizontal="right" vertical="center" wrapText="1"/>
    </xf>
    <xf numFmtId="44" fontId="68" fillId="42" borderId="19" xfId="5" applyFont="1" applyFill="1" applyBorder="1"/>
    <xf numFmtId="0" fontId="15" fillId="42" borderId="1" xfId="0" applyFont="1" applyFill="1" applyBorder="1"/>
    <xf numFmtId="0" fontId="82" fillId="42" borderId="0" xfId="0" applyFont="1" applyFill="1"/>
    <xf numFmtId="0" fontId="85" fillId="44" borderId="0" xfId="0" applyFont="1" applyFill="1" applyAlignment="1">
      <alignment horizontal="center" vertical="center" wrapText="1"/>
    </xf>
    <xf numFmtId="1" fontId="15" fillId="43" borderId="50" xfId="5" applyNumberFormat="1" applyFont="1" applyFill="1" applyBorder="1" applyAlignment="1" applyProtection="1"/>
    <xf numFmtId="44" fontId="15" fillId="33" borderId="63" xfId="5" applyFont="1" applyFill="1" applyBorder="1" applyAlignment="1">
      <alignment horizontal="center"/>
    </xf>
    <xf numFmtId="1" fontId="15" fillId="33" borderId="64" xfId="5" applyNumberFormat="1" applyFont="1" applyFill="1" applyBorder="1" applyAlignment="1">
      <alignment horizontal="center"/>
    </xf>
    <xf numFmtId="1" fontId="15" fillId="33" borderId="65" xfId="5" applyNumberFormat="1" applyFont="1" applyFill="1" applyBorder="1" applyAlignment="1">
      <alignment horizontal="center"/>
    </xf>
    <xf numFmtId="1" fontId="15" fillId="33" borderId="63" xfId="5" applyNumberFormat="1" applyFont="1" applyFill="1" applyBorder="1" applyAlignment="1">
      <alignment horizontal="center"/>
    </xf>
    <xf numFmtId="44" fontId="34" fillId="4" borderId="1" xfId="5" applyFont="1" applyFill="1" applyBorder="1" applyAlignment="1" applyProtection="1">
      <alignment horizontal="left"/>
    </xf>
    <xf numFmtId="0" fontId="58" fillId="36" borderId="0" xfId="0" applyFont="1" applyFill="1"/>
    <xf numFmtId="0" fontId="15" fillId="17" borderId="15" xfId="0" applyFont="1" applyFill="1" applyBorder="1" applyProtection="1"/>
    <xf numFmtId="0" fontId="15" fillId="17" borderId="29" xfId="0" applyFont="1" applyFill="1" applyBorder="1" applyProtection="1"/>
    <xf numFmtId="1" fontId="15" fillId="33" borderId="65" xfId="5" applyNumberFormat="1" applyFont="1" applyFill="1" applyBorder="1" applyAlignment="1" applyProtection="1">
      <alignment horizontal="center"/>
    </xf>
    <xf numFmtId="44" fontId="15" fillId="33" borderId="31" xfId="5" applyFont="1" applyFill="1" applyBorder="1" applyAlignment="1" applyProtection="1">
      <alignment horizontal="center"/>
    </xf>
    <xf numFmtId="167" fontId="13" fillId="18" borderId="14" xfId="5" applyNumberFormat="1" applyFont="1" applyFill="1" applyBorder="1" applyAlignment="1" applyProtection="1">
      <alignment horizontal="center"/>
    </xf>
    <xf numFmtId="44" fontId="15" fillId="19" borderId="1" xfId="5" applyFont="1" applyFill="1" applyBorder="1" applyAlignment="1" applyProtection="1">
      <alignment horizontal="center"/>
    </xf>
    <xf numFmtId="0" fontId="0" fillId="0" borderId="19" xfId="0" applyBorder="1"/>
    <xf numFmtId="0" fontId="57" fillId="45" borderId="66" xfId="0" applyFont="1" applyFill="1" applyBorder="1" applyAlignment="1">
      <alignment horizontal="center" vertical="center" wrapText="1"/>
    </xf>
    <xf numFmtId="3" fontId="0" fillId="0" borderId="0" xfId="0" applyNumberFormat="1"/>
    <xf numFmtId="1" fontId="0" fillId="0" borderId="0" xfId="0" applyNumberFormat="1"/>
    <xf numFmtId="1" fontId="81" fillId="0" borderId="19" xfId="0" applyNumberFormat="1" applyFont="1" applyBorder="1"/>
    <xf numFmtId="1" fontId="86" fillId="0" borderId="19" xfId="0" applyNumberFormat="1" applyFont="1" applyBorder="1"/>
    <xf numFmtId="167" fontId="0" fillId="38" borderId="0" xfId="0" applyNumberFormat="1" applyFill="1"/>
    <xf numFmtId="44" fontId="0" fillId="38" borderId="0" xfId="0" applyNumberFormat="1" applyFill="1"/>
    <xf numFmtId="0" fontId="52" fillId="0" borderId="19" xfId="7" applyFont="1" applyFill="1" applyBorder="1" applyAlignment="1" applyProtection="1">
      <alignment horizontal="center" vertical="center" wrapText="1"/>
    </xf>
    <xf numFmtId="44" fontId="53" fillId="36" borderId="0" xfId="5" applyFont="1" applyFill="1" applyAlignment="1" applyProtection="1">
      <alignment horizontal="center" vertical="center"/>
    </xf>
    <xf numFmtId="0" fontId="18" fillId="18" borderId="19" xfId="8" applyFont="1" applyFill="1" applyBorder="1" applyAlignment="1">
      <alignment horizontal="left" vertical="center" wrapText="1"/>
    </xf>
    <xf numFmtId="0" fontId="87" fillId="18" borderId="19" xfId="0" applyFont="1" applyFill="1" applyBorder="1" applyAlignment="1">
      <alignment horizontal="left" vertical="center"/>
    </xf>
    <xf numFmtId="0" fontId="0" fillId="0" borderId="3" xfId="0" applyBorder="1"/>
    <xf numFmtId="0" fontId="0" fillId="0" borderId="3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wrapText="1"/>
    </xf>
    <xf numFmtId="0" fontId="0" fillId="0" borderId="7" xfId="0" applyBorder="1"/>
    <xf numFmtId="0" fontId="0" fillId="0" borderId="28" xfId="0" applyBorder="1"/>
    <xf numFmtId="0" fontId="0" fillId="0" borderId="8" xfId="0" applyBorder="1"/>
    <xf numFmtId="43" fontId="53" fillId="0" borderId="19" xfId="3" applyFont="1" applyBorder="1" applyAlignment="1">
      <alignment vertical="center"/>
    </xf>
    <xf numFmtId="43" fontId="58" fillId="0" borderId="19" xfId="3" applyFont="1" applyBorder="1" applyAlignment="1">
      <alignment vertical="center"/>
    </xf>
    <xf numFmtId="43" fontId="88" fillId="0" borderId="19" xfId="3" applyFont="1" applyBorder="1"/>
    <xf numFmtId="43" fontId="0" fillId="0" borderId="6" xfId="0" applyNumberFormat="1" applyBorder="1"/>
    <xf numFmtId="0" fontId="58" fillId="46" borderId="19" xfId="0" applyFont="1" applyFill="1" applyBorder="1" applyAlignment="1">
      <alignment horizontal="center" wrapText="1"/>
    </xf>
    <xf numFmtId="0" fontId="69" fillId="38" borderId="19" xfId="0" applyFont="1" applyFill="1" applyBorder="1" applyAlignment="1">
      <alignment horizontal="center" wrapText="1"/>
    </xf>
    <xf numFmtId="3" fontId="93" fillId="52" borderId="85" xfId="0" applyNumberFormat="1" applyFont="1" applyFill="1" applyBorder="1" applyAlignment="1">
      <alignment horizontal="left"/>
    </xf>
    <xf numFmtId="3" fontId="93" fillId="52" borderId="83" xfId="0" applyNumberFormat="1" applyFont="1" applyFill="1" applyBorder="1" applyAlignment="1">
      <alignment horizontal="left"/>
    </xf>
    <xf numFmtId="3" fontId="93" fillId="52" borderId="84" xfId="0" applyNumberFormat="1" applyFont="1" applyFill="1" applyBorder="1" applyAlignment="1">
      <alignment horizontal="left"/>
    </xf>
    <xf numFmtId="3" fontId="93" fillId="45" borderId="95" xfId="0" applyNumberFormat="1" applyFont="1" applyFill="1" applyBorder="1" applyAlignment="1">
      <alignment horizontal="left"/>
    </xf>
    <xf numFmtId="3" fontId="93" fillId="45" borderId="96" xfId="0" applyNumberFormat="1" applyFont="1" applyFill="1" applyBorder="1" applyAlignment="1">
      <alignment horizontal="left"/>
    </xf>
    <xf numFmtId="3" fontId="93" fillId="45" borderId="97" xfId="0" applyNumberFormat="1" applyFont="1" applyFill="1" applyBorder="1" applyAlignment="1">
      <alignment horizontal="left"/>
    </xf>
    <xf numFmtId="3" fontId="93" fillId="45" borderId="85" xfId="0" applyNumberFormat="1" applyFont="1" applyFill="1" applyBorder="1" applyAlignment="1">
      <alignment horizontal="left"/>
    </xf>
    <xf numFmtId="3" fontId="93" fillId="45" borderId="83" xfId="0" applyNumberFormat="1" applyFont="1" applyFill="1" applyBorder="1" applyAlignment="1">
      <alignment horizontal="left"/>
    </xf>
    <xf numFmtId="3" fontId="93" fillId="45" borderId="84" xfId="0" applyNumberFormat="1" applyFont="1" applyFill="1" applyBorder="1" applyAlignment="1">
      <alignment horizontal="left"/>
    </xf>
    <xf numFmtId="0" fontId="65" fillId="16" borderId="86" xfId="2" applyFont="1" applyFill="1" applyBorder="1" applyAlignment="1">
      <alignment horizontal="left"/>
    </xf>
    <xf numFmtId="0" fontId="65" fillId="16" borderId="87" xfId="2" applyFont="1" applyFill="1" applyBorder="1" applyAlignment="1">
      <alignment horizontal="left"/>
    </xf>
    <xf numFmtId="0" fontId="65" fillId="16" borderId="88" xfId="2" applyFont="1" applyFill="1" applyBorder="1" applyAlignment="1">
      <alignment horizontal="left"/>
    </xf>
    <xf numFmtId="0" fontId="56" fillId="28" borderId="86" xfId="2" applyFont="1" applyFill="1" applyBorder="1" applyAlignment="1">
      <alignment horizontal="center"/>
    </xf>
    <xf numFmtId="0" fontId="56" fillId="28" borderId="87" xfId="2" applyFont="1" applyFill="1" applyBorder="1" applyAlignment="1">
      <alignment horizontal="center"/>
    </xf>
    <xf numFmtId="0" fontId="56" fillId="28" borderId="88" xfId="2" applyFont="1" applyFill="1" applyBorder="1" applyAlignment="1">
      <alignment horizontal="center"/>
    </xf>
    <xf numFmtId="3" fontId="0" fillId="19" borderId="82" xfId="0" applyNumberFormat="1" applyFont="1" applyFill="1" applyBorder="1" applyAlignment="1">
      <alignment horizontal="left"/>
    </xf>
    <xf numFmtId="3" fontId="0" fillId="19" borderId="83" xfId="0" applyNumberFormat="1" applyFont="1" applyFill="1" applyBorder="1" applyAlignment="1">
      <alignment horizontal="left"/>
    </xf>
    <xf numFmtId="3" fontId="0" fillId="19" borderId="84" xfId="0" applyNumberFormat="1" applyFont="1" applyFill="1" applyBorder="1" applyAlignment="1">
      <alignment horizontal="left"/>
    </xf>
    <xf numFmtId="3" fontId="54" fillId="34" borderId="82" xfId="0" applyNumberFormat="1" applyFont="1" applyFill="1" applyBorder="1" applyAlignment="1">
      <alignment horizontal="left"/>
    </xf>
    <xf numFmtId="3" fontId="54" fillId="34" borderId="83" xfId="0" applyNumberFormat="1" applyFont="1" applyFill="1" applyBorder="1" applyAlignment="1">
      <alignment horizontal="left"/>
    </xf>
    <xf numFmtId="3" fontId="54" fillId="34" borderId="84" xfId="0" applyNumberFormat="1" applyFont="1" applyFill="1" applyBorder="1" applyAlignment="1">
      <alignment horizontal="left"/>
    </xf>
    <xf numFmtId="0" fontId="57" fillId="45" borderId="89" xfId="0" applyFont="1" applyFill="1" applyBorder="1" applyAlignment="1">
      <alignment horizontal="center" vertical="center" wrapText="1"/>
    </xf>
    <xf numFmtId="0" fontId="57" fillId="45" borderId="90" xfId="0" applyFont="1" applyFill="1" applyBorder="1" applyAlignment="1">
      <alignment horizontal="center" vertical="center" wrapText="1"/>
    </xf>
    <xf numFmtId="0" fontId="57" fillId="45" borderId="55" xfId="0" applyFont="1" applyFill="1" applyBorder="1" applyAlignment="1">
      <alignment horizontal="center" vertical="center" wrapText="1"/>
    </xf>
    <xf numFmtId="3" fontId="93" fillId="52" borderId="89" xfId="0" applyNumberFormat="1" applyFont="1" applyFill="1" applyBorder="1" applyAlignment="1">
      <alignment horizontal="left"/>
    </xf>
    <xf numFmtId="3" fontId="93" fillId="52" borderId="90" xfId="0" applyNumberFormat="1" applyFont="1" applyFill="1" applyBorder="1" applyAlignment="1">
      <alignment horizontal="left"/>
    </xf>
    <xf numFmtId="3" fontId="93" fillId="52" borderId="91" xfId="0" applyNumberFormat="1" applyFont="1" applyFill="1" applyBorder="1" applyAlignment="1">
      <alignment horizontal="left"/>
    </xf>
    <xf numFmtId="3" fontId="93" fillId="45" borderId="92" xfId="0" applyNumberFormat="1" applyFont="1" applyFill="1" applyBorder="1" applyAlignment="1">
      <alignment horizontal="left"/>
    </xf>
    <xf numFmtId="3" fontId="93" fillId="45" borderId="93" xfId="0" applyNumberFormat="1" applyFont="1" applyFill="1" applyBorder="1" applyAlignment="1">
      <alignment horizontal="left"/>
    </xf>
    <xf numFmtId="3" fontId="93" fillId="45" borderId="94" xfId="0" applyNumberFormat="1" applyFont="1" applyFill="1" applyBorder="1" applyAlignment="1">
      <alignment horizontal="left"/>
    </xf>
    <xf numFmtId="3" fontId="4" fillId="51" borderId="39" xfId="0" applyNumberFormat="1" applyFont="1" applyFill="1" applyBorder="1" applyAlignment="1">
      <alignment horizontal="left" vertical="center" wrapText="1"/>
    </xf>
    <xf numFmtId="3" fontId="4" fillId="51" borderId="43" xfId="0" applyNumberFormat="1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46" xfId="0" applyFont="1" applyFill="1" applyBorder="1" applyAlignment="1">
      <alignment horizontal="center" vertical="center" wrapText="1"/>
    </xf>
    <xf numFmtId="3" fontId="4" fillId="18" borderId="39" xfId="0" applyNumberFormat="1" applyFont="1" applyFill="1" applyBorder="1" applyAlignment="1">
      <alignment horizontal="left" vertical="center" wrapText="1"/>
    </xf>
    <xf numFmtId="3" fontId="4" fillId="18" borderId="43" xfId="0" applyNumberFormat="1" applyFont="1" applyFill="1" applyBorder="1" applyAlignment="1">
      <alignment horizontal="left" vertical="center" wrapText="1"/>
    </xf>
    <xf numFmtId="3" fontId="4" fillId="17" borderId="39" xfId="0" applyNumberFormat="1" applyFont="1" applyFill="1" applyBorder="1" applyAlignment="1">
      <alignment horizontal="left" vertical="center" wrapText="1"/>
    </xf>
    <xf numFmtId="3" fontId="4" fillId="17" borderId="43" xfId="0" applyNumberFormat="1" applyFont="1" applyFill="1" applyBorder="1" applyAlignment="1">
      <alignment horizontal="left" vertical="center" wrapText="1"/>
    </xf>
    <xf numFmtId="0" fontId="26" fillId="42" borderId="0" xfId="0" applyFont="1" applyFill="1" applyBorder="1" applyAlignment="1">
      <alignment horizontal="center" vertical="center" wrapText="1"/>
    </xf>
    <xf numFmtId="0" fontId="0" fillId="42" borderId="0" xfId="0" applyFill="1"/>
    <xf numFmtId="0" fontId="0" fillId="42" borderId="45" xfId="0" applyFill="1" applyBorder="1"/>
    <xf numFmtId="0" fontId="15" fillId="42" borderId="32" xfId="0" applyFont="1" applyFill="1" applyBorder="1" applyAlignment="1">
      <alignment horizontal="center" vertical="center"/>
    </xf>
    <xf numFmtId="0" fontId="90" fillId="28" borderId="28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 vertical="center"/>
    </xf>
    <xf numFmtId="0" fontId="29" fillId="21" borderId="0" xfId="0" applyFont="1" applyFill="1" applyBorder="1" applyAlignment="1">
      <alignment horizontal="center" vertical="center"/>
    </xf>
    <xf numFmtId="0" fontId="29" fillId="21" borderId="41" xfId="0" applyFont="1" applyFill="1" applyBorder="1" applyAlignment="1">
      <alignment horizontal="center" vertical="center"/>
    </xf>
    <xf numFmtId="0" fontId="38" fillId="42" borderId="62" xfId="0" applyFont="1" applyFill="1" applyBorder="1" applyAlignment="1">
      <alignment horizontal="center"/>
    </xf>
    <xf numFmtId="0" fontId="38" fillId="42" borderId="75" xfId="0" applyFont="1" applyFill="1" applyBorder="1" applyAlignment="1">
      <alignment horizontal="center"/>
    </xf>
    <xf numFmtId="0" fontId="38" fillId="42" borderId="76" xfId="0" applyFont="1" applyFill="1" applyBorder="1" applyAlignment="1">
      <alignment horizontal="center"/>
    </xf>
    <xf numFmtId="3" fontId="24" fillId="49" borderId="37" xfId="0" applyNumberFormat="1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38" xfId="0" applyBorder="1"/>
    <xf numFmtId="0" fontId="56" fillId="50" borderId="77" xfId="0" applyFont="1" applyFill="1" applyBorder="1" applyAlignment="1">
      <alignment horizontal="center" vertical="center" wrapText="1"/>
    </xf>
    <xf numFmtId="0" fontId="56" fillId="50" borderId="78" xfId="0" applyFont="1" applyFill="1" applyBorder="1" applyAlignment="1">
      <alignment horizontal="center" vertical="center" wrapText="1"/>
    </xf>
    <xf numFmtId="3" fontId="0" fillId="32" borderId="79" xfId="0" applyNumberFormat="1" applyFont="1" applyFill="1" applyBorder="1" applyAlignment="1">
      <alignment horizontal="left"/>
    </xf>
    <xf numFmtId="3" fontId="0" fillId="32" borderId="80" xfId="0" applyNumberFormat="1" applyFont="1" applyFill="1" applyBorder="1" applyAlignment="1">
      <alignment horizontal="left"/>
    </xf>
    <xf numFmtId="3" fontId="0" fillId="32" borderId="81" xfId="0" applyNumberFormat="1" applyFont="1" applyFill="1" applyBorder="1" applyAlignment="1">
      <alignment horizontal="left"/>
    </xf>
    <xf numFmtId="3" fontId="0" fillId="33" borderId="82" xfId="0" applyNumberFormat="1" applyFont="1" applyFill="1" applyBorder="1" applyAlignment="1">
      <alignment horizontal="left"/>
    </xf>
    <xf numFmtId="3" fontId="0" fillId="33" borderId="83" xfId="0" applyNumberFormat="1" applyFont="1" applyFill="1" applyBorder="1" applyAlignment="1">
      <alignment horizontal="left"/>
    </xf>
    <xf numFmtId="3" fontId="0" fillId="33" borderId="84" xfId="0" applyNumberFormat="1" applyFont="1" applyFill="1" applyBorder="1" applyAlignment="1">
      <alignment horizontal="left"/>
    </xf>
    <xf numFmtId="3" fontId="0" fillId="15" borderId="82" xfId="0" applyNumberFormat="1" applyFont="1" applyFill="1" applyBorder="1" applyAlignment="1">
      <alignment horizontal="left"/>
    </xf>
    <xf numFmtId="3" fontId="0" fillId="15" borderId="83" xfId="0" applyNumberFormat="1" applyFont="1" applyFill="1" applyBorder="1" applyAlignment="1">
      <alignment horizontal="left"/>
    </xf>
    <xf numFmtId="3" fontId="0" fillId="15" borderId="84" xfId="0" applyNumberFormat="1" applyFont="1" applyFill="1" applyBorder="1" applyAlignment="1">
      <alignment horizontal="left"/>
    </xf>
    <xf numFmtId="3" fontId="0" fillId="31" borderId="82" xfId="0" applyNumberFormat="1" applyFont="1" applyFill="1" applyBorder="1" applyAlignment="1">
      <alignment horizontal="left"/>
    </xf>
    <xf numFmtId="3" fontId="0" fillId="31" borderId="83" xfId="0" applyNumberFormat="1" applyFont="1" applyFill="1" applyBorder="1" applyAlignment="1">
      <alignment horizontal="left"/>
    </xf>
    <xf numFmtId="3" fontId="0" fillId="31" borderId="84" xfId="0" applyNumberFormat="1" applyFont="1" applyFill="1" applyBorder="1" applyAlignment="1">
      <alignment horizontal="left"/>
    </xf>
    <xf numFmtId="3" fontId="0" fillId="18" borderId="82" xfId="0" applyNumberFormat="1" applyFont="1" applyFill="1" applyBorder="1" applyAlignment="1">
      <alignment horizontal="left"/>
    </xf>
    <xf numFmtId="3" fontId="0" fillId="18" borderId="83" xfId="0" applyNumberFormat="1" applyFont="1" applyFill="1" applyBorder="1" applyAlignment="1">
      <alignment horizontal="left"/>
    </xf>
    <xf numFmtId="3" fontId="0" fillId="18" borderId="84" xfId="0" applyNumberFormat="1" applyFont="1" applyFill="1" applyBorder="1" applyAlignment="1">
      <alignment horizontal="left"/>
    </xf>
    <xf numFmtId="3" fontId="0" fillId="29" borderId="82" xfId="0" applyNumberFormat="1" applyFont="1" applyFill="1" applyBorder="1" applyAlignment="1">
      <alignment horizontal="left"/>
    </xf>
    <xf numFmtId="3" fontId="0" fillId="29" borderId="83" xfId="0" applyNumberFormat="1" applyFont="1" applyFill="1" applyBorder="1" applyAlignment="1">
      <alignment horizontal="left"/>
    </xf>
    <xf numFmtId="3" fontId="0" fillId="29" borderId="84" xfId="0" applyNumberFormat="1" applyFont="1" applyFill="1" applyBorder="1" applyAlignment="1">
      <alignment horizontal="left"/>
    </xf>
    <xf numFmtId="3" fontId="0" fillId="30" borderId="82" xfId="0" applyNumberFormat="1" applyFont="1" applyFill="1" applyBorder="1" applyAlignment="1">
      <alignment horizontal="left"/>
    </xf>
    <xf numFmtId="3" fontId="0" fillId="30" borderId="83" xfId="0" applyNumberFormat="1" applyFont="1" applyFill="1" applyBorder="1" applyAlignment="1">
      <alignment horizontal="left"/>
    </xf>
    <xf numFmtId="3" fontId="0" fillId="30" borderId="84" xfId="0" applyNumberFormat="1" applyFont="1" applyFill="1" applyBorder="1" applyAlignment="1">
      <alignment horizontal="left"/>
    </xf>
    <xf numFmtId="0" fontId="4" fillId="47" borderId="39" xfId="0" applyFont="1" applyFill="1" applyBorder="1" applyAlignment="1">
      <alignment horizontal="left" vertical="center" wrapText="1"/>
    </xf>
    <xf numFmtId="0" fontId="4" fillId="47" borderId="43" xfId="0" applyFont="1" applyFill="1" applyBorder="1" applyAlignment="1">
      <alignment horizontal="left" vertical="center" wrapText="1"/>
    </xf>
    <xf numFmtId="0" fontId="4" fillId="47" borderId="40" xfId="0" applyFont="1" applyFill="1" applyBorder="1" applyAlignment="1">
      <alignment horizontal="left" vertical="center" wrapText="1"/>
    </xf>
    <xf numFmtId="3" fontId="4" fillId="48" borderId="39" xfId="0" applyNumberFormat="1" applyFont="1" applyFill="1" applyBorder="1" applyAlignment="1">
      <alignment horizontal="left" vertical="center" wrapText="1"/>
    </xf>
    <xf numFmtId="3" fontId="4" fillId="48" borderId="43" xfId="0" applyNumberFormat="1" applyFont="1" applyFill="1" applyBorder="1" applyAlignment="1">
      <alignment horizontal="left" vertical="center" wrapText="1"/>
    </xf>
    <xf numFmtId="0" fontId="91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22" fillId="6" borderId="0" xfId="0" applyFont="1" applyFill="1" applyAlignment="1">
      <alignment horizontal="center"/>
    </xf>
    <xf numFmtId="0" fontId="35" fillId="21" borderId="19" xfId="0" applyFont="1" applyFill="1" applyBorder="1" applyAlignment="1">
      <alignment horizontal="center" vertical="center"/>
    </xf>
    <xf numFmtId="0" fontId="35" fillId="21" borderId="17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wrapText="1"/>
    </xf>
    <xf numFmtId="0" fontId="37" fillId="15" borderId="67" xfId="0" quotePrefix="1" applyFont="1" applyFill="1" applyBorder="1" applyAlignment="1">
      <alignment horizontal="center" vertical="center" wrapText="1"/>
    </xf>
    <xf numFmtId="0" fontId="37" fillId="15" borderId="68" xfId="0" quotePrefix="1" applyFont="1" applyFill="1" applyBorder="1" applyAlignment="1">
      <alignment horizontal="center" vertical="center" wrapText="1"/>
    </xf>
    <xf numFmtId="3" fontId="14" fillId="12" borderId="69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3" fontId="89" fillId="37" borderId="73" xfId="0" applyNumberFormat="1" applyFont="1" applyFill="1" applyBorder="1" applyAlignment="1">
      <alignment horizontal="center"/>
    </xf>
    <xf numFmtId="3" fontId="89" fillId="37" borderId="74" xfId="0" applyNumberFormat="1" applyFont="1" applyFill="1" applyBorder="1" applyAlignment="1">
      <alignment horizontal="center"/>
    </xf>
    <xf numFmtId="166" fontId="10" fillId="36" borderId="39" xfId="0" applyNumberFormat="1" applyFont="1" applyFill="1" applyBorder="1" applyAlignment="1">
      <alignment horizontal="center"/>
    </xf>
    <xf numFmtId="166" fontId="10" fillId="36" borderId="40" xfId="0" applyNumberFormat="1" applyFont="1" applyFill="1" applyBorder="1" applyAlignment="1">
      <alignment horizontal="center"/>
    </xf>
    <xf numFmtId="0" fontId="12" fillId="42" borderId="62" xfId="0" applyFont="1" applyFill="1" applyBorder="1" applyAlignment="1">
      <alignment horizontal="center"/>
    </xf>
    <xf numFmtId="0" fontId="12" fillId="42" borderId="75" xfId="0" applyFont="1" applyFill="1" applyBorder="1" applyAlignment="1">
      <alignment horizontal="center"/>
    </xf>
    <xf numFmtId="0" fontId="12" fillId="42" borderId="76" xfId="0" applyFont="1" applyFill="1" applyBorder="1" applyAlignment="1">
      <alignment horizontal="center"/>
    </xf>
    <xf numFmtId="0" fontId="16" fillId="20" borderId="17" xfId="0" applyFont="1" applyFill="1" applyBorder="1" applyAlignment="1">
      <alignment horizontal="center" vertical="center" wrapText="1"/>
    </xf>
    <xf numFmtId="3" fontId="14" fillId="12" borderId="33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0" fillId="0" borderId="34" xfId="0" applyBorder="1" applyAlignment="1">
      <alignment horizontal="justify"/>
    </xf>
    <xf numFmtId="0" fontId="0" fillId="0" borderId="33" xfId="0" applyBorder="1" applyAlignment="1">
      <alignment horizontal="justify"/>
    </xf>
    <xf numFmtId="0" fontId="0" fillId="0" borderId="35" xfId="0" applyBorder="1" applyAlignment="1">
      <alignment horizontal="justify"/>
    </xf>
    <xf numFmtId="0" fontId="0" fillId="0" borderId="42" xfId="0" applyBorder="1" applyAlignment="1">
      <alignment horizontal="justify"/>
    </xf>
    <xf numFmtId="0" fontId="0" fillId="0" borderId="36" xfId="0" applyBorder="1" applyAlignment="1">
      <alignment horizontal="justify"/>
    </xf>
    <xf numFmtId="0" fontId="83" fillId="0" borderId="0" xfId="0" applyFont="1" applyAlignment="1">
      <alignment horizontal="center"/>
    </xf>
    <xf numFmtId="169" fontId="39" fillId="0" borderId="0" xfId="0" applyNumberFormat="1" applyFont="1" applyAlignment="1">
      <alignment horizontal="center"/>
    </xf>
    <xf numFmtId="0" fontId="49" fillId="38" borderId="28" xfId="0" applyFont="1" applyFill="1" applyBorder="1" applyAlignment="1">
      <alignment horizontal="center"/>
    </xf>
    <xf numFmtId="0" fontId="16" fillId="42" borderId="32" xfId="0" applyFont="1" applyFill="1" applyBorder="1" applyAlignment="1">
      <alignment horizontal="center" vertical="center"/>
    </xf>
    <xf numFmtId="0" fontId="26" fillId="42" borderId="3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1" fillId="3" borderId="0" xfId="0" applyFont="1" applyFill="1" applyAlignment="1">
      <alignment horizontal="center" vertical="center"/>
    </xf>
    <xf numFmtId="0" fontId="4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7" borderId="0" xfId="0" applyFont="1" applyFill="1" applyAlignment="1">
      <alignment horizontal="center" vertical="center"/>
    </xf>
    <xf numFmtId="0" fontId="39" fillId="8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</cellXfs>
  <cellStyles count="10">
    <cellStyle name="20% - Énfasis2" xfId="1" builtinId="34"/>
    <cellStyle name="Cálculo" xfId="2" builtinId="22"/>
    <cellStyle name="Millares" xfId="3" builtinId="3"/>
    <cellStyle name="Millares 2" xfId="4"/>
    <cellStyle name="Moneda" xfId="5" builtinId="4"/>
    <cellStyle name="Normal" xfId="0" builtinId="0"/>
    <cellStyle name="Normal 2" xfId="6"/>
    <cellStyle name="Normal 4" xfId="7"/>
    <cellStyle name="Normal_Hoja1" xfId="8"/>
    <cellStyle name="Porcentaje" xfId="9" builtinId="5"/>
  </cellStyles>
  <dxfs count="34">
    <dxf>
      <alignment horizontal="center" readingOrder="0"/>
    </dxf>
    <dxf>
      <alignment vertical="center" readingOrder="0"/>
    </dxf>
    <dxf>
      <font>
        <color auto="1"/>
      </font>
    </dxf>
    <dxf>
      <font>
        <color auto="1"/>
      </font>
    </dxf>
    <dxf>
      <border>
        <bottom style="thin">
          <color indexed="64"/>
        </bottom>
      </border>
    </dxf>
    <dxf>
      <font>
        <sz val="10"/>
      </font>
    </dxf>
    <dxf>
      <font>
        <b/>
      </font>
    </dxf>
    <dxf>
      <alignment wrapText="1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 outline="0">
        <top style="medium">
          <color indexed="9"/>
        </top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rgb="FFC00000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9"/>
        </left>
        <right/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5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5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60"/>
        <name val="Arial Narrow"/>
        <scheme val="none"/>
      </font>
      <fill>
        <patternFill patternType="solid">
          <fgColor indexed="64"/>
          <bgColor indexed="45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color theme="5" tint="0.79998168889431442"/>
      </font>
    </dxf>
  </dxfs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664323</xdr:colOff>
      <xdr:row>53</xdr:row>
      <xdr:rowOff>112058</xdr:rowOff>
    </xdr:from>
    <xdr:to>
      <xdr:col>7</xdr:col>
      <xdr:colOff>775650</xdr:colOff>
      <xdr:row>55</xdr:row>
      <xdr:rowOff>41636</xdr:rowOff>
    </xdr:to>
    <xdr:sp macro="" textlink="">
      <xdr:nvSpPr>
        <xdr:cNvPr id="47" name="46 Flecha abajo">
          <a:extLst/>
        </xdr:cNvPr>
        <xdr:cNvSpPr/>
      </xdr:nvSpPr>
      <xdr:spPr>
        <a:xfrm>
          <a:off x="3747248" y="18228608"/>
          <a:ext cx="112059" cy="275665"/>
        </a:xfrm>
        <a:prstGeom prst="down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es-MX"/>
        </a:p>
      </xdr:txBody>
    </xdr:sp>
    <xdr:clientData/>
  </xdr:twoCellAnchor>
  <xdr:twoCellAnchor>
    <xdr:from>
      <xdr:col>8</xdr:col>
      <xdr:colOff>664733</xdr:colOff>
      <xdr:row>53</xdr:row>
      <xdr:rowOff>112059</xdr:rowOff>
    </xdr:from>
    <xdr:to>
      <xdr:col>8</xdr:col>
      <xdr:colOff>776792</xdr:colOff>
      <xdr:row>55</xdr:row>
      <xdr:rowOff>41637</xdr:rowOff>
    </xdr:to>
    <xdr:sp macro="" textlink="">
      <xdr:nvSpPr>
        <xdr:cNvPr id="48" name="47 Flecha abajo">
          <a:extLst/>
        </xdr:cNvPr>
        <xdr:cNvSpPr/>
      </xdr:nvSpPr>
      <xdr:spPr>
        <a:xfrm>
          <a:off x="5670177" y="11217088"/>
          <a:ext cx="112059" cy="313765"/>
        </a:xfrm>
        <a:prstGeom prst="down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es-MX"/>
        </a:p>
      </xdr:txBody>
    </xdr:sp>
    <xdr:clientData/>
  </xdr:twoCellAnchor>
  <xdr:twoCellAnchor>
    <xdr:from>
      <xdr:col>9</xdr:col>
      <xdr:colOff>767042</xdr:colOff>
      <xdr:row>53</xdr:row>
      <xdr:rowOff>83297</xdr:rowOff>
    </xdr:from>
    <xdr:to>
      <xdr:col>9</xdr:col>
      <xdr:colOff>868207</xdr:colOff>
      <xdr:row>55</xdr:row>
      <xdr:rowOff>19236</xdr:rowOff>
    </xdr:to>
    <xdr:sp macro="" textlink="">
      <xdr:nvSpPr>
        <xdr:cNvPr id="49" name="48 Flecha abajo">
          <a:extLst/>
        </xdr:cNvPr>
        <xdr:cNvSpPr/>
      </xdr:nvSpPr>
      <xdr:spPr>
        <a:xfrm>
          <a:off x="5672417" y="18206197"/>
          <a:ext cx="112059" cy="275665"/>
        </a:xfrm>
        <a:prstGeom prst="down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es-MX"/>
        </a:p>
      </xdr:txBody>
    </xdr:sp>
    <xdr:clientData/>
  </xdr:twoCellAnchor>
  <xdr:twoCellAnchor editAs="oneCell">
    <xdr:from>
      <xdr:col>10</xdr:col>
      <xdr:colOff>847725</xdr:colOff>
      <xdr:row>141</xdr:row>
      <xdr:rowOff>171450</xdr:rowOff>
    </xdr:from>
    <xdr:to>
      <xdr:col>15</xdr:col>
      <xdr:colOff>66675</xdr:colOff>
      <xdr:row>144</xdr:row>
      <xdr:rowOff>180975</xdr:rowOff>
    </xdr:to>
    <xdr:pic>
      <xdr:nvPicPr>
        <xdr:cNvPr id="162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7202150"/>
          <a:ext cx="560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</xdr:row>
      <xdr:rowOff>104775</xdr:rowOff>
    </xdr:from>
    <xdr:to>
      <xdr:col>6</xdr:col>
      <xdr:colOff>1209675</xdr:colOff>
      <xdr:row>4</xdr:row>
      <xdr:rowOff>57150</xdr:rowOff>
    </xdr:to>
    <xdr:pic>
      <xdr:nvPicPr>
        <xdr:cNvPr id="16264" name="Imagen 2" descr="cid:image001.png@01D4979C.498D33F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28600"/>
          <a:ext cx="4238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0</xdr:row>
      <xdr:rowOff>104775</xdr:rowOff>
    </xdr:from>
    <xdr:to>
      <xdr:col>8</xdr:col>
      <xdr:colOff>771525</xdr:colOff>
      <xdr:row>5</xdr:row>
      <xdr:rowOff>200025</xdr:rowOff>
    </xdr:to>
    <xdr:pic>
      <xdr:nvPicPr>
        <xdr:cNvPr id="16265" name="Picture 2" descr="d:\Users\kgallegos\Desktop\PRESENTACIÓN\INICI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29" r="65907" b="83005"/>
        <a:stretch>
          <a:fillRect/>
        </a:stretch>
      </xdr:blipFill>
      <xdr:spPr bwMode="auto">
        <a:xfrm>
          <a:off x="4438650" y="104775"/>
          <a:ext cx="23812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1333500</xdr:colOff>
      <xdr:row>0</xdr:row>
      <xdr:rowOff>161925</xdr:rowOff>
    </xdr:from>
    <xdr:to>
      <xdr:col>12</xdr:col>
      <xdr:colOff>676275</xdr:colOff>
      <xdr:row>4</xdr:row>
      <xdr:rowOff>66675</xdr:rowOff>
    </xdr:to>
    <xdr:pic>
      <xdr:nvPicPr>
        <xdr:cNvPr id="168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5591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</xdr:row>
      <xdr:rowOff>0</xdr:rowOff>
    </xdr:from>
    <xdr:to>
      <xdr:col>3</xdr:col>
      <xdr:colOff>0</xdr:colOff>
      <xdr:row>4</xdr:row>
      <xdr:rowOff>171450</xdr:rowOff>
    </xdr:to>
    <xdr:pic>
      <xdr:nvPicPr>
        <xdr:cNvPr id="16858" name="Imagen 2" descr="cid:image001.png@01D4979C.498D33F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4953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1057275</xdr:colOff>
      <xdr:row>0</xdr:row>
      <xdr:rowOff>28575</xdr:rowOff>
    </xdr:from>
    <xdr:to>
      <xdr:col>7</xdr:col>
      <xdr:colOff>1171575</xdr:colOff>
      <xdr:row>4</xdr:row>
      <xdr:rowOff>171450</xdr:rowOff>
    </xdr:to>
    <xdr:pic>
      <xdr:nvPicPr>
        <xdr:cNvPr id="16859" name="Picture 2" descr="d:\Users\kgallegos\Desktop\PRESENTACIÓN\INICI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29" r="65907" b="83005"/>
        <a:stretch>
          <a:fillRect/>
        </a:stretch>
      </xdr:blipFill>
      <xdr:spPr bwMode="auto">
        <a:xfrm>
          <a:off x="8591550" y="28575"/>
          <a:ext cx="1714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438150</xdr:colOff>
      <xdr:row>51</xdr:row>
      <xdr:rowOff>76200</xdr:rowOff>
    </xdr:to>
    <xdr:pic>
      <xdr:nvPicPr>
        <xdr:cNvPr id="13603" name="Imagen 2" descr="cid:image001.png@01D4979C.498D33F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90500"/>
          <a:ext cx="4248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542925</xdr:colOff>
      <xdr:row>0</xdr:row>
      <xdr:rowOff>104775</xdr:rowOff>
    </xdr:from>
    <xdr:to>
      <xdr:col>13</xdr:col>
      <xdr:colOff>123825</xdr:colOff>
      <xdr:row>51</xdr:row>
      <xdr:rowOff>9525</xdr:rowOff>
    </xdr:to>
    <xdr:pic>
      <xdr:nvPicPr>
        <xdr:cNvPr id="13604" name="Picture 2" descr="d:\Users\kgallegos\Desktop\PRESENTACIÓN\INICI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29" r="65907" b="83005"/>
        <a:stretch>
          <a:fillRect/>
        </a:stretch>
      </xdr:blipFill>
      <xdr:spPr bwMode="auto">
        <a:xfrm>
          <a:off x="7629525" y="104775"/>
          <a:ext cx="2628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38100</xdr:rowOff>
    </xdr:from>
    <xdr:to>
      <xdr:col>6</xdr:col>
      <xdr:colOff>333375</xdr:colOff>
      <xdr:row>7</xdr:row>
      <xdr:rowOff>66675</xdr:rowOff>
    </xdr:to>
    <xdr:pic>
      <xdr:nvPicPr>
        <xdr:cNvPr id="17605" name="Imagen 2" descr="cid:image001.png@01D4979C.498D33F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28600"/>
          <a:ext cx="75152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2486025</xdr:colOff>
      <xdr:row>15</xdr:row>
      <xdr:rowOff>85726</xdr:rowOff>
    </xdr:from>
    <xdr:to>
      <xdr:col>3</xdr:col>
      <xdr:colOff>371475</xdr:colOff>
      <xdr:row>17</xdr:row>
      <xdr:rowOff>295275</xdr:rowOff>
    </xdr:to>
    <xdr:cxnSp macro="">
      <xdr:nvCxnSpPr>
        <xdr:cNvPr id="3" name="3 Conector recto de flecha"/>
        <xdr:cNvCxnSpPr/>
      </xdr:nvCxnSpPr>
      <xdr:spPr>
        <a:xfrm flipV="1">
          <a:off x="3248025" y="3648076"/>
          <a:ext cx="419100" cy="590549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.escandon/AppData/Local/Microsoft/Windows/Temporary%20Internet%20Files/Content.Outlook/W1K3WNKK/DURANGO/G&#211;MEZ%20PALACIO/Copia%20de%20SIMULADOR%20SALARIAL_GOMEZ%20PALACIO_DURANGO_AEE%20(2)(1448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dor Piramide-Salarios"/>
      <sheetName val="Matriz de impacto"/>
      <sheetName val="PROMOCIONES "/>
      <sheetName val="GASTOS NÓMINA"/>
    </sheetNames>
    <sheetDataSet>
      <sheetData sheetId="0"/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dor" refreshedDate="42810.49548784722" createdVersion="1" refreshedVersion="4" recordCount="30" upgradeOnRefresh="1">
  <cacheSource type="worksheet">
    <worksheetSource ref="L54:P84" sheet="Simulador Piramide-Salarios"/>
  </cacheSource>
  <cacheFields count="5">
    <cacheField name="Rango" numFmtId="0">
      <sharedItems containsBlank="1" count="17">
        <m/>
        <s v="Policía "/>
        <s v="Policía 3°"/>
        <s v="Policía 2°"/>
        <s v="Policía 1°"/>
        <s v="Suboficial"/>
        <s v="Oficial"/>
        <s v="Subinspector"/>
        <s v="Inspector"/>
        <s v="Inspector Jefe"/>
        <s v="Inspector General"/>
        <s v="Comisario"/>
        <s v="Policía (U. Análisis)"/>
        <s v="Policía (U. Reacción)"/>
        <s v="Policía 3° (Jefe U. A.)"/>
        <s v="Policía 3° (Jefe U. R.)"/>
        <s v="Policía 3° " u="1"/>
      </sharedItems>
    </cacheField>
    <cacheField name="Núm. Elementos" numFmtId="0">
      <sharedItems containsBlank="1" containsMixedTypes="1" containsNumber="1" containsInteger="1" minValue="0" maxValue="1"/>
    </cacheField>
    <cacheField name="Suma Tabular" numFmtId="0">
      <sharedItems containsBlank="1" containsMixedTypes="1" containsNumber="1" containsInteger="1" minValue="0" maxValue="0"/>
    </cacheField>
    <cacheField name="Suma Compensación" numFmtId="0">
      <sharedItems containsBlank="1" containsMixedTypes="1" containsNumber="1" containsInteger="1" minValue="0" maxValue="0"/>
    </cacheField>
    <cacheField name="TOTAL" numFmtId="0">
      <sharedItems containsBlank="1"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m/>
    <m/>
    <m/>
    <m/>
  </r>
  <r>
    <x v="0"/>
    <n v="1"/>
    <s v="Suma Tabular"/>
    <s v="Suma Compensación"/>
    <s v="TOTAL"/>
  </r>
  <r>
    <x v="1"/>
    <n v="0"/>
    <n v="0"/>
    <n v="0"/>
    <n v="0"/>
  </r>
  <r>
    <x v="2"/>
    <n v="0"/>
    <n v="0"/>
    <n v="0"/>
    <n v="0"/>
  </r>
  <r>
    <x v="3"/>
    <n v="0"/>
    <n v="0"/>
    <n v="0"/>
    <n v="0"/>
  </r>
  <r>
    <x v="4"/>
    <n v="0"/>
    <n v="0"/>
    <n v="0"/>
    <n v="0"/>
  </r>
  <r>
    <x v="5"/>
    <n v="0"/>
    <n v="0"/>
    <n v="0"/>
    <n v="0"/>
  </r>
  <r>
    <x v="6"/>
    <n v="0"/>
    <n v="0"/>
    <n v="0"/>
    <n v="0"/>
  </r>
  <r>
    <x v="7"/>
    <n v="0"/>
    <n v="0"/>
    <n v="0"/>
    <n v="0"/>
  </r>
  <r>
    <x v="8"/>
    <n v="0"/>
    <n v="0"/>
    <n v="0"/>
    <n v="0"/>
  </r>
  <r>
    <x v="9"/>
    <n v="0"/>
    <n v="0"/>
    <n v="0"/>
    <n v="0"/>
  </r>
  <r>
    <x v="10"/>
    <n v="0"/>
    <n v="0"/>
    <n v="0"/>
    <n v="0"/>
  </r>
  <r>
    <x v="11"/>
    <n v="1"/>
    <n v="0"/>
    <n v="0"/>
    <n v="0"/>
  </r>
  <r>
    <x v="0"/>
    <s v="Total mensual"/>
    <n v="0"/>
    <n v="0"/>
    <n v="0"/>
  </r>
  <r>
    <x v="0"/>
    <s v="Total Anual"/>
    <n v="0"/>
    <n v="0"/>
    <n v="0"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s v="Núm. Elementos"/>
    <m/>
    <m/>
    <m/>
  </r>
  <r>
    <x v="0"/>
    <m/>
    <m/>
    <m/>
    <m/>
  </r>
  <r>
    <x v="0"/>
    <n v="0"/>
    <s v="Suma Tabular"/>
    <s v="Suma Compensación"/>
    <s v="TOTAL"/>
  </r>
  <r>
    <x v="1"/>
    <m/>
    <n v="0"/>
    <n v="0"/>
    <n v="0"/>
  </r>
  <r>
    <x v="12"/>
    <n v="0"/>
    <n v="0"/>
    <n v="0"/>
    <n v="0"/>
  </r>
  <r>
    <x v="13"/>
    <n v="0"/>
    <n v="0"/>
    <n v="0"/>
    <n v="0"/>
  </r>
  <r>
    <x v="2"/>
    <m/>
    <n v="0"/>
    <n v="0"/>
    <n v="0"/>
  </r>
  <r>
    <x v="14"/>
    <n v="0"/>
    <n v="0"/>
    <n v="0"/>
    <n v="0"/>
  </r>
  <r>
    <x v="15"/>
    <m/>
    <n v="0"/>
    <n v="0"/>
    <n v="0"/>
  </r>
  <r>
    <x v="3"/>
    <m/>
    <n v="0"/>
    <n v="0"/>
    <n v="0"/>
  </r>
  <r>
    <x v="4"/>
    <m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4" showItems="0" showMemberPropertyTips="0" useAutoFormatting="1" itemPrintTitles="1" createdVersion="1" indent="0" showHeaders="0" compact="0" compactData="0" gridDropZones="1">
  <location ref="L125:N142" firstHeaderRow="1" firstDataRow="2" firstDataCol="1"/>
  <pivotFields count="5">
    <pivotField axis="axisRow" compact="0" outline="0" subtotalTop="0" showAll="0" includeNewItemsInFilter="1">
      <items count="1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m="1" x="16"/>
        <item x="14"/>
        <item x="15"/>
        <item h="1" x="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Núm. Elementos." fld="1" baseField="0" baseItem="0" numFmtId="1"/>
    <dataField name="Suma Tabular." fld="2" baseField="0" baseItem="0" numFmtId="169"/>
  </dataFields>
  <formats count="12">
    <format dxfId="11">
      <pivotArea type="origin" dataOnly="0" labelOnly="1" outline="0" fieldPosition="0"/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outline="0" fieldPosition="0"/>
    </format>
    <format dxfId="1">
      <pivotArea outline="0" fieldPosition="0">
        <references count="1">
          <reference field="4294967294" count="1" selected="0">
            <x v="0"/>
          </reference>
        </references>
      </pivotArea>
    </format>
    <format dxfId="0">
      <pivotArea outline="0" fieldPosition="0">
        <references count="1">
          <reference field="4294967294" count="1" selected="0">
            <x v="0"/>
          </reference>
        </references>
      </pivotArea>
    </format>
  </formats>
  <pivotTableStyleInfo name="PivotStyleDark23" showRowHeaders="1" showColHeaders="0" showRowStripes="0" showColStripes="0" showLastColumn="1"/>
</pivotTableDefinition>
</file>

<file path=xl/tables/table1.xml><?xml version="1.0" encoding="utf-8"?>
<table xmlns="http://schemas.openxmlformats.org/spreadsheetml/2006/main" id="262" name="Tabla11243677073_1233263" displayName="Tabla11243677073_1233263" ref="F11:Q32" totalsRowShown="0" headerRowDxfId="20" headerRowCellStyle="Normal">
  <tableColumns count="12">
    <tableColumn id="1" name="POLICÍA" dataDxfId="32"/>
    <tableColumn id="2" name="POLICÍA TERCERO" dataDxfId="31"/>
    <tableColumn id="3" name="POLICÍA SEGUNDO" dataDxfId="30"/>
    <tableColumn id="4" name="POLICÍA PRIMERO" dataDxfId="29"/>
    <tableColumn id="5" name="SUBOFICIAL" dataDxfId="28"/>
    <tableColumn id="6" name="OFICIAL" dataDxfId="27"/>
    <tableColumn id="7" name="SUBINSPECTOR" dataDxfId="26"/>
    <tableColumn id="8" name="INSPECTOR" dataDxfId="25"/>
    <tableColumn id="9" name="INSPECTOR JEFE" dataDxfId="24"/>
    <tableColumn id="10" name="INSPECTOR GENERAL" dataDxfId="23"/>
    <tableColumn id="11" name="TOTAL" dataDxfId="22"/>
    <tableColumn id="12" name="Columna1" dataDxfId="21">
      <calculatedColumnFormula>SUM(F12:P12)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63" name="Tabla228234264" displayName="Tabla228234264" ref="F91:J109" totalsRowShown="0" headerRowDxfId="14" dataDxfId="13" tableBorderDxfId="12" headerRowCellStyle="Normal" dataCellStyle="Normal">
  <tableColumns count="5">
    <tableColumn id="1" name="GRADO" dataDxfId="19" dataCellStyle="Neutral"/>
    <tableColumn id="2" name="CANTIDAD" dataDxfId="18" dataCellStyle="Neutral"/>
    <tableColumn id="3" name="SUELDO MENOR" dataDxfId="17" dataCellStyle="Neutral"/>
    <tableColumn id="4" name="SUELDO MAYOR" dataDxfId="16" dataCellStyle="Neutral"/>
    <tableColumn id="5" name="TOTAL EN NÓMINA" dataDxfId="15" dataCellStyle="Neutral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64"/>
  <sheetViews>
    <sheetView showGridLines="0" tabSelected="1" view="pageBreakPreview" zoomScaleNormal="100" zoomScaleSheetLayoutView="100" workbookViewId="0">
      <selection activeCell="G23" sqref="G23"/>
    </sheetView>
  </sheetViews>
  <sheetFormatPr baseColWidth="10" defaultRowHeight="16.5" x14ac:dyDescent="0.3"/>
  <cols>
    <col min="1" max="1" width="1.28515625" style="1" customWidth="1"/>
    <col min="2" max="2" width="3.5703125" style="1" customWidth="1"/>
    <col min="3" max="3" width="10" style="1" customWidth="1"/>
    <col min="4" max="4" width="4.5703125" style="1" customWidth="1"/>
    <col min="5" max="5" width="3.5703125" style="1" customWidth="1"/>
    <col min="6" max="6" width="24" style="1" customWidth="1"/>
    <col min="7" max="7" width="19.28515625" style="1" customWidth="1"/>
    <col min="8" max="8" width="24.42578125" style="1" customWidth="1"/>
    <col min="9" max="9" width="22" style="1" customWidth="1"/>
    <col min="10" max="10" width="23.5703125" style="1" customWidth="1"/>
    <col min="11" max="11" width="17.85546875" style="1" customWidth="1"/>
    <col min="12" max="12" width="20.7109375" style="1" customWidth="1"/>
    <col min="13" max="13" width="18.5703125" style="1" customWidth="1"/>
    <col min="14" max="14" width="20" style="1" customWidth="1"/>
    <col min="15" max="15" width="18.5703125" style="1" customWidth="1"/>
    <col min="16" max="16" width="20.28515625" style="1" customWidth="1"/>
    <col min="17" max="17" width="10.85546875" style="1" customWidth="1"/>
    <col min="18" max="18" width="2.140625" style="1" customWidth="1"/>
    <col min="19" max="19" width="2" style="1" customWidth="1"/>
    <col min="20" max="26" width="25.140625" style="1" customWidth="1"/>
    <col min="27" max="27" width="5.42578125" style="1" customWidth="1"/>
    <col min="28" max="16384" width="11.42578125" style="1"/>
  </cols>
  <sheetData>
    <row r="1" spans="1:26" ht="9.75" customHeight="1" x14ac:dyDescent="0.3">
      <c r="A1" s="7"/>
      <c r="B1" s="7"/>
      <c r="C1" s="7"/>
      <c r="D1" s="7"/>
      <c r="E1" s="43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7"/>
      <c r="Q1" s="7"/>
      <c r="R1" s="20"/>
      <c r="Z1" s="229" t="s">
        <v>41</v>
      </c>
    </row>
    <row r="2" spans="1:26" ht="21.75" customHeight="1" x14ac:dyDescent="0.35">
      <c r="A2" s="7"/>
      <c r="H2" s="7"/>
      <c r="I2" s="7"/>
      <c r="J2" s="406" t="s">
        <v>190</v>
      </c>
      <c r="K2" s="406"/>
      <c r="L2" s="406"/>
      <c r="M2" s="406"/>
      <c r="N2" s="406"/>
      <c r="O2" s="406"/>
      <c r="P2" s="406"/>
      <c r="Q2" s="7"/>
      <c r="R2" s="20"/>
      <c r="T2" s="404" t="s">
        <v>197</v>
      </c>
      <c r="U2" s="405"/>
      <c r="V2" s="405"/>
      <c r="W2" s="405"/>
      <c r="Z2" s="229" t="s">
        <v>34</v>
      </c>
    </row>
    <row r="3" spans="1:26" ht="17.25" customHeight="1" thickBot="1" x14ac:dyDescent="0.35">
      <c r="A3" s="7"/>
      <c r="H3" s="7"/>
      <c r="I3" s="7"/>
      <c r="J3" s="7"/>
      <c r="K3" s="7"/>
      <c r="L3" s="7"/>
      <c r="M3" s="7"/>
      <c r="N3" s="7"/>
      <c r="O3" s="7"/>
      <c r="P3" s="7"/>
      <c r="Q3" s="7"/>
      <c r="R3" s="20"/>
      <c r="T3" s="405"/>
      <c r="U3" s="405"/>
      <c r="V3" s="405"/>
      <c r="W3" s="405"/>
      <c r="Z3" s="229" t="s">
        <v>35</v>
      </c>
    </row>
    <row r="4" spans="1:26" ht="17.100000000000001" customHeight="1" thickBot="1" x14ac:dyDescent="0.35">
      <c r="A4" s="7"/>
      <c r="H4" s="7"/>
      <c r="I4" s="7"/>
      <c r="J4" s="59" t="s">
        <v>51</v>
      </c>
      <c r="K4" s="370"/>
      <c r="L4" s="371"/>
      <c r="M4" s="372"/>
      <c r="N4" s="7"/>
      <c r="O4" s="7"/>
      <c r="P4" s="7"/>
      <c r="Q4" s="7"/>
      <c r="R4" s="20"/>
      <c r="T4" s="405"/>
      <c r="U4" s="405"/>
      <c r="V4" s="405"/>
      <c r="W4" s="405"/>
      <c r="Z4" s="229" t="s">
        <v>36</v>
      </c>
    </row>
    <row r="5" spans="1:26" ht="7.5" customHeight="1" thickBot="1" x14ac:dyDescent="0.35">
      <c r="A5" s="7"/>
      <c r="H5" s="7"/>
      <c r="I5" s="7"/>
      <c r="J5" s="59"/>
      <c r="K5" s="15"/>
      <c r="L5" s="15"/>
      <c r="M5" s="15"/>
      <c r="N5" s="7"/>
      <c r="O5" s="7"/>
      <c r="P5" s="7"/>
      <c r="Q5" s="7"/>
      <c r="R5" s="20"/>
      <c r="T5" s="405"/>
      <c r="U5" s="405"/>
      <c r="V5" s="405"/>
      <c r="W5" s="405"/>
      <c r="Z5" s="229" t="s">
        <v>0</v>
      </c>
    </row>
    <row r="6" spans="1:26" ht="17.100000000000001" customHeight="1" thickBot="1" x14ac:dyDescent="0.35">
      <c r="A6" s="7"/>
      <c r="H6" s="7"/>
      <c r="I6" s="7"/>
      <c r="J6" s="59" t="s">
        <v>50</v>
      </c>
      <c r="K6" s="423"/>
      <c r="L6" s="424"/>
      <c r="M6" s="425"/>
      <c r="N6" s="9" t="s">
        <v>49</v>
      </c>
      <c r="O6" s="421">
        <f ca="1">TODAY()</f>
        <v>45370</v>
      </c>
      <c r="P6" s="422"/>
      <c r="Q6" s="7"/>
      <c r="R6" s="20"/>
      <c r="T6" s="405"/>
      <c r="U6" s="405"/>
      <c r="V6" s="405"/>
      <c r="W6" s="405"/>
      <c r="Z6" s="229" t="s">
        <v>1</v>
      </c>
    </row>
    <row r="7" spans="1:26" ht="11.2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0"/>
      <c r="T7" s="405"/>
      <c r="U7" s="405"/>
      <c r="V7" s="405"/>
      <c r="W7" s="405"/>
      <c r="Z7" s="229" t="s">
        <v>2</v>
      </c>
    </row>
    <row r="8" spans="1:26" ht="21" customHeight="1" x14ac:dyDescent="0.3">
      <c r="A8" s="2"/>
      <c r="B8" s="2"/>
      <c r="C8" s="34" t="s">
        <v>84</v>
      </c>
      <c r="D8" s="5"/>
      <c r="E8" s="5"/>
      <c r="F8" s="6"/>
      <c r="G8" s="6"/>
      <c r="H8" s="34"/>
      <c r="I8" s="39"/>
      <c r="J8" s="6"/>
      <c r="K8" s="6"/>
      <c r="L8" s="6"/>
      <c r="M8" s="6"/>
      <c r="N8" s="5"/>
      <c r="O8" s="5"/>
      <c r="P8" s="5"/>
      <c r="Q8" s="5"/>
      <c r="R8" s="20"/>
      <c r="T8" s="405"/>
      <c r="U8" s="405"/>
      <c r="V8" s="405"/>
      <c r="W8" s="405"/>
      <c r="Z8" s="229" t="s">
        <v>3</v>
      </c>
    </row>
    <row r="9" spans="1:26" ht="10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T9" s="405"/>
      <c r="U9" s="405"/>
      <c r="V9" s="405"/>
      <c r="W9" s="405"/>
      <c r="Z9" s="229" t="s">
        <v>129</v>
      </c>
    </row>
    <row r="10" spans="1:26" ht="14.25" customHeight="1" x14ac:dyDescent="0.3">
      <c r="A10" s="8"/>
      <c r="B10" s="8"/>
      <c r="C10" s="8"/>
      <c r="D10" s="8"/>
      <c r="E10" s="8"/>
      <c r="F10" s="88" t="s">
        <v>123</v>
      </c>
      <c r="G10" s="89"/>
      <c r="H10" s="89"/>
      <c r="I10" s="89"/>
      <c r="J10" s="92" t="s">
        <v>124</v>
      </c>
      <c r="K10" s="91"/>
      <c r="L10" s="90"/>
      <c r="M10" s="94" t="s">
        <v>125</v>
      </c>
      <c r="N10" s="93"/>
      <c r="O10" s="93"/>
      <c r="P10" s="7"/>
      <c r="Q10" s="7"/>
      <c r="R10" s="20"/>
      <c r="T10" s="405"/>
      <c r="U10" s="405"/>
      <c r="V10" s="405"/>
      <c r="W10" s="405"/>
      <c r="Z10" s="229" t="s">
        <v>130</v>
      </c>
    </row>
    <row r="11" spans="1:26" ht="29.25" customHeight="1" thickBot="1" x14ac:dyDescent="0.35">
      <c r="A11" s="8"/>
      <c r="B11" s="8"/>
      <c r="C11" s="376" t="s">
        <v>58</v>
      </c>
      <c r="D11" s="376"/>
      <c r="E11" s="377"/>
      <c r="F11" s="47" t="s">
        <v>40</v>
      </c>
      <c r="G11" s="47" t="s">
        <v>10</v>
      </c>
      <c r="H11" s="47" t="s">
        <v>11</v>
      </c>
      <c r="I11" s="47" t="s">
        <v>12</v>
      </c>
      <c r="J11" s="47" t="s">
        <v>13</v>
      </c>
      <c r="K11" s="47" t="s">
        <v>14</v>
      </c>
      <c r="L11" s="47" t="s">
        <v>15</v>
      </c>
      <c r="M11" s="47" t="s">
        <v>16</v>
      </c>
      <c r="N11" s="47" t="s">
        <v>103</v>
      </c>
      <c r="O11" s="47" t="s">
        <v>104</v>
      </c>
      <c r="P11" s="47" t="s">
        <v>20</v>
      </c>
      <c r="Q11" s="113" t="s">
        <v>126</v>
      </c>
      <c r="R11" s="20"/>
      <c r="T11" s="405"/>
      <c r="U11" s="405"/>
      <c r="V11" s="405"/>
      <c r="W11" s="405"/>
      <c r="Z11" s="229" t="s">
        <v>4</v>
      </c>
    </row>
    <row r="12" spans="1:26" ht="15.75" customHeight="1" thickTop="1" x14ac:dyDescent="0.3">
      <c r="A12" s="8"/>
      <c r="B12" s="8"/>
      <c r="C12" s="378" t="s">
        <v>93</v>
      </c>
      <c r="D12" s="379"/>
      <c r="E12" s="380"/>
      <c r="F12" s="119">
        <v>3</v>
      </c>
      <c r="G12" s="119">
        <v>1</v>
      </c>
      <c r="H12" s="46"/>
      <c r="I12" s="46"/>
      <c r="J12" s="46"/>
      <c r="K12" s="46"/>
      <c r="L12" s="46"/>
      <c r="M12" s="46"/>
      <c r="N12" s="46"/>
      <c r="P12" s="119">
        <f>SUM(F12:O12)</f>
        <v>4</v>
      </c>
      <c r="Q12" s="7"/>
      <c r="R12" s="20"/>
      <c r="T12" s="405"/>
      <c r="U12" s="405"/>
      <c r="V12" s="405"/>
      <c r="W12" s="405"/>
      <c r="Z12" s="229" t="s">
        <v>87</v>
      </c>
    </row>
    <row r="13" spans="1:26" ht="15.75" customHeight="1" x14ac:dyDescent="0.3">
      <c r="A13" s="8"/>
      <c r="B13" s="8"/>
      <c r="C13" s="384" t="s">
        <v>94</v>
      </c>
      <c r="D13" s="385"/>
      <c r="E13" s="386"/>
      <c r="F13" s="118">
        <f t="shared" ref="F13:H15" si="0">F12*3</f>
        <v>9</v>
      </c>
      <c r="G13" s="118">
        <f t="shared" si="0"/>
        <v>3</v>
      </c>
      <c r="H13" s="118">
        <v>1</v>
      </c>
      <c r="I13" s="46"/>
      <c r="J13" s="46"/>
      <c r="K13" s="46"/>
      <c r="L13" s="46"/>
      <c r="M13" s="46"/>
      <c r="N13" s="46"/>
      <c r="P13" s="118">
        <f t="shared" ref="P13:P19" si="1">SUM(F13:O13)</f>
        <v>13</v>
      </c>
      <c r="Q13" s="7"/>
      <c r="R13" s="20"/>
      <c r="T13" s="405"/>
      <c r="U13" s="405"/>
      <c r="V13" s="405"/>
      <c r="W13" s="405"/>
      <c r="Z13" s="229" t="s">
        <v>88</v>
      </c>
    </row>
    <row r="14" spans="1:26" ht="15.75" customHeight="1" x14ac:dyDescent="0.3">
      <c r="A14" s="8"/>
      <c r="B14" s="8"/>
      <c r="C14" s="387" t="s">
        <v>95</v>
      </c>
      <c r="D14" s="388"/>
      <c r="E14" s="389"/>
      <c r="F14" s="117">
        <f>F13*3</f>
        <v>27</v>
      </c>
      <c r="G14" s="117">
        <f t="shared" si="0"/>
        <v>9</v>
      </c>
      <c r="H14" s="117">
        <f t="shared" si="0"/>
        <v>3</v>
      </c>
      <c r="I14" s="117">
        <v>1</v>
      </c>
      <c r="J14" s="46"/>
      <c r="K14" s="46"/>
      <c r="L14" s="46"/>
      <c r="M14" s="46"/>
      <c r="N14" s="46"/>
      <c r="P14" s="117">
        <f t="shared" si="1"/>
        <v>40</v>
      </c>
      <c r="Q14" s="7"/>
      <c r="R14" s="20"/>
      <c r="T14" s="405"/>
      <c r="U14" s="405"/>
      <c r="V14" s="405"/>
      <c r="W14" s="405"/>
      <c r="Z14" s="229" t="s">
        <v>115</v>
      </c>
    </row>
    <row r="15" spans="1:26" ht="15.75" customHeight="1" x14ac:dyDescent="0.3">
      <c r="A15" s="8"/>
      <c r="B15" s="8"/>
      <c r="C15" s="396" t="s">
        <v>96</v>
      </c>
      <c r="D15" s="397"/>
      <c r="E15" s="398"/>
      <c r="F15" s="116">
        <f t="shared" ref="F15:H20" si="2">F14*3</f>
        <v>81</v>
      </c>
      <c r="G15" s="116">
        <f t="shared" si="0"/>
        <v>27</v>
      </c>
      <c r="H15" s="116">
        <f t="shared" si="0"/>
        <v>9</v>
      </c>
      <c r="I15" s="116">
        <f>I14*3</f>
        <v>3</v>
      </c>
      <c r="J15" s="116">
        <v>1</v>
      </c>
      <c r="K15" s="46"/>
      <c r="L15" s="46"/>
      <c r="M15" s="46"/>
      <c r="N15" s="46"/>
      <c r="P15" s="116">
        <f t="shared" si="1"/>
        <v>121</v>
      </c>
      <c r="Q15" s="7"/>
      <c r="R15" s="20"/>
      <c r="T15" s="405"/>
      <c r="U15" s="405"/>
      <c r="V15" s="405"/>
      <c r="W15" s="405"/>
      <c r="Z15" s="229" t="s">
        <v>89</v>
      </c>
    </row>
    <row r="16" spans="1:26" ht="15.75" customHeight="1" x14ac:dyDescent="0.3">
      <c r="A16" s="8"/>
      <c r="B16" s="8"/>
      <c r="C16" s="393" t="s">
        <v>98</v>
      </c>
      <c r="D16" s="394"/>
      <c r="E16" s="395"/>
      <c r="F16" s="115">
        <f t="shared" si="2"/>
        <v>243</v>
      </c>
      <c r="G16" s="115">
        <f t="shared" si="2"/>
        <v>81</v>
      </c>
      <c r="H16" s="115">
        <f t="shared" si="2"/>
        <v>27</v>
      </c>
      <c r="I16" s="115">
        <f t="shared" ref="I16:J20" si="3">I15*3</f>
        <v>9</v>
      </c>
      <c r="J16" s="115">
        <f t="shared" si="3"/>
        <v>3</v>
      </c>
      <c r="K16" s="115">
        <v>1</v>
      </c>
      <c r="L16" s="46"/>
      <c r="M16" s="46"/>
      <c r="N16" s="46"/>
      <c r="P16" s="115">
        <f t="shared" si="1"/>
        <v>364</v>
      </c>
      <c r="Q16" s="7"/>
      <c r="R16" s="20"/>
      <c r="T16" s="405"/>
      <c r="U16" s="405"/>
      <c r="V16" s="405"/>
      <c r="W16" s="405"/>
      <c r="Z16" s="229"/>
    </row>
    <row r="17" spans="1:26" ht="15.75" customHeight="1" x14ac:dyDescent="0.3">
      <c r="A17" s="8"/>
      <c r="B17" s="8"/>
      <c r="C17" s="381" t="s">
        <v>101</v>
      </c>
      <c r="D17" s="382"/>
      <c r="E17" s="383"/>
      <c r="F17" s="122">
        <f t="shared" si="2"/>
        <v>729</v>
      </c>
      <c r="G17" s="122">
        <f t="shared" si="2"/>
        <v>243</v>
      </c>
      <c r="H17" s="122">
        <f t="shared" si="2"/>
        <v>81</v>
      </c>
      <c r="I17" s="122">
        <f t="shared" si="3"/>
        <v>27</v>
      </c>
      <c r="J17" s="122">
        <f t="shared" si="3"/>
        <v>9</v>
      </c>
      <c r="K17" s="122">
        <f>K16*3</f>
        <v>3</v>
      </c>
      <c r="L17" s="122">
        <v>1</v>
      </c>
      <c r="M17" s="46"/>
      <c r="N17" s="46"/>
      <c r="P17" s="122">
        <f t="shared" si="1"/>
        <v>1093</v>
      </c>
      <c r="Q17" s="7"/>
      <c r="R17" s="20"/>
      <c r="Z17" s="229"/>
    </row>
    <row r="18" spans="1:26" ht="15.75" customHeight="1" x14ac:dyDescent="0.3">
      <c r="A18" s="8"/>
      <c r="B18" s="8"/>
      <c r="C18" s="390" t="s">
        <v>102</v>
      </c>
      <c r="D18" s="391"/>
      <c r="E18" s="392"/>
      <c r="F18" s="120">
        <f t="shared" si="2"/>
        <v>2187</v>
      </c>
      <c r="G18" s="120">
        <f t="shared" si="2"/>
        <v>729</v>
      </c>
      <c r="H18" s="120">
        <f t="shared" si="2"/>
        <v>243</v>
      </c>
      <c r="I18" s="120">
        <f t="shared" si="3"/>
        <v>81</v>
      </c>
      <c r="J18" s="120">
        <f t="shared" si="3"/>
        <v>27</v>
      </c>
      <c r="K18" s="120">
        <f>K17*3</f>
        <v>9</v>
      </c>
      <c r="L18" s="120">
        <f>L17*3</f>
        <v>3</v>
      </c>
      <c r="M18" s="120">
        <v>1</v>
      </c>
      <c r="N18" s="46"/>
      <c r="P18" s="120">
        <f t="shared" si="1"/>
        <v>3280</v>
      </c>
      <c r="Q18" s="7"/>
      <c r="R18" s="20"/>
      <c r="Z18" s="229"/>
    </row>
    <row r="19" spans="1:26" ht="15.75" customHeight="1" x14ac:dyDescent="0.3">
      <c r="A19" s="8"/>
      <c r="B19" s="8"/>
      <c r="C19" s="339" t="s">
        <v>99</v>
      </c>
      <c r="D19" s="340"/>
      <c r="E19" s="341"/>
      <c r="F19" s="121">
        <f t="shared" si="2"/>
        <v>6561</v>
      </c>
      <c r="G19" s="121">
        <f t="shared" si="2"/>
        <v>2187</v>
      </c>
      <c r="H19" s="121">
        <f t="shared" si="2"/>
        <v>729</v>
      </c>
      <c r="I19" s="121">
        <f t="shared" si="3"/>
        <v>243</v>
      </c>
      <c r="J19" s="121">
        <f t="shared" si="3"/>
        <v>81</v>
      </c>
      <c r="K19" s="121">
        <f>K18*3</f>
        <v>27</v>
      </c>
      <c r="L19" s="121">
        <f t="shared" ref="L19:N20" si="4">L18*3</f>
        <v>9</v>
      </c>
      <c r="M19" s="121">
        <f t="shared" si="4"/>
        <v>3</v>
      </c>
      <c r="N19" s="121">
        <v>1</v>
      </c>
      <c r="P19" s="121">
        <f t="shared" si="1"/>
        <v>9841</v>
      </c>
      <c r="Q19" s="7"/>
      <c r="R19" s="20"/>
      <c r="T19" s="231"/>
      <c r="U19" s="230"/>
      <c r="Z19" s="229"/>
    </row>
    <row r="20" spans="1:26" ht="15.75" customHeight="1" x14ac:dyDescent="0.3">
      <c r="A20" s="8"/>
      <c r="B20" s="8"/>
      <c r="C20" s="342" t="s">
        <v>100</v>
      </c>
      <c r="D20" s="343"/>
      <c r="E20" s="344"/>
      <c r="F20" s="123">
        <f t="shared" si="2"/>
        <v>19683</v>
      </c>
      <c r="G20" s="123">
        <f t="shared" si="2"/>
        <v>6561</v>
      </c>
      <c r="H20" s="123">
        <f t="shared" si="2"/>
        <v>2187</v>
      </c>
      <c r="I20" s="123">
        <f t="shared" si="3"/>
        <v>729</v>
      </c>
      <c r="J20" s="123">
        <f t="shared" si="3"/>
        <v>243</v>
      </c>
      <c r="K20" s="123">
        <f>K19*3</f>
        <v>81</v>
      </c>
      <c r="L20" s="123">
        <f t="shared" si="4"/>
        <v>27</v>
      </c>
      <c r="M20" s="123">
        <f t="shared" si="4"/>
        <v>9</v>
      </c>
      <c r="N20" s="123">
        <f t="shared" si="4"/>
        <v>3</v>
      </c>
      <c r="O20" s="123">
        <v>1</v>
      </c>
      <c r="P20" s="123">
        <f>SUM(F20:O20)</f>
        <v>29524</v>
      </c>
      <c r="Q20" s="7"/>
      <c r="R20" s="20"/>
      <c r="T20" s="231">
        <v>0</v>
      </c>
      <c r="U20" s="230"/>
      <c r="Z20" s="229"/>
    </row>
    <row r="21" spans="1:26" ht="1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32" t="s">
        <v>128</v>
      </c>
      <c r="Q21" s="7"/>
      <c r="R21" s="20"/>
      <c r="T21" s="231">
        <v>1</v>
      </c>
      <c r="U21" s="230"/>
      <c r="Z21" s="229"/>
    </row>
    <row r="22" spans="1:26" ht="29.25" customHeight="1" thickBot="1" x14ac:dyDescent="0.35">
      <c r="A22" s="8"/>
      <c r="B22" s="8"/>
      <c r="C22" s="345" t="s">
        <v>58</v>
      </c>
      <c r="D22" s="346"/>
      <c r="E22" s="347"/>
      <c r="F22" s="135" t="s">
        <v>40</v>
      </c>
      <c r="G22" s="135" t="s">
        <v>10</v>
      </c>
      <c r="H22" s="135" t="s">
        <v>11</v>
      </c>
      <c r="I22" s="135" t="s">
        <v>12</v>
      </c>
      <c r="J22" s="135" t="s">
        <v>13</v>
      </c>
      <c r="K22" s="135" t="s">
        <v>14</v>
      </c>
      <c r="L22" s="135" t="s">
        <v>15</v>
      </c>
      <c r="M22" s="135" t="s">
        <v>16</v>
      </c>
      <c r="N22" s="135" t="s">
        <v>103</v>
      </c>
      <c r="O22" s="135" t="s">
        <v>104</v>
      </c>
      <c r="P22" s="135" t="s">
        <v>127</v>
      </c>
      <c r="Q22" s="48" t="s">
        <v>20</v>
      </c>
      <c r="R22" s="20"/>
      <c r="T22" s="230"/>
      <c r="U22" s="230"/>
    </row>
    <row r="23" spans="1:26" ht="15" customHeight="1" thickBot="1" x14ac:dyDescent="0.35">
      <c r="A23" s="8"/>
      <c r="B23" s="8"/>
      <c r="C23" s="348" t="s">
        <v>131</v>
      </c>
      <c r="D23" s="349"/>
      <c r="E23" s="350"/>
      <c r="F23" s="263">
        <v>2</v>
      </c>
      <c r="G23" s="264"/>
      <c r="H23" s="264"/>
      <c r="I23" s="264"/>
      <c r="J23" s="264"/>
      <c r="K23" s="264"/>
      <c r="L23" s="264"/>
      <c r="M23" s="264"/>
      <c r="N23" s="264"/>
      <c r="O23" s="264"/>
      <c r="P23" s="264">
        <v>1</v>
      </c>
      <c r="Q23" s="134">
        <f t="shared" ref="Q23:Q32" si="5">SUM(F23:P23)</f>
        <v>3</v>
      </c>
      <c r="R23" s="20"/>
      <c r="T23" s="230"/>
      <c r="U23" s="230"/>
    </row>
    <row r="24" spans="1:26" ht="15" customHeight="1" thickBot="1" x14ac:dyDescent="0.35">
      <c r="A24" s="8"/>
      <c r="B24" s="262">
        <v>1</v>
      </c>
      <c r="C24" s="351" t="s">
        <v>17</v>
      </c>
      <c r="D24" s="352"/>
      <c r="E24" s="353"/>
      <c r="F24" s="100">
        <f t="shared" ref="F24:F32" si="6">B24*F12</f>
        <v>3</v>
      </c>
      <c r="G24" s="100">
        <f t="shared" ref="G24:G32" si="7">B24*G12</f>
        <v>1</v>
      </c>
      <c r="H24" s="106"/>
      <c r="I24" s="106"/>
      <c r="J24" s="106"/>
      <c r="K24" s="106"/>
      <c r="L24" s="106"/>
      <c r="M24" s="106"/>
      <c r="N24" s="106"/>
      <c r="O24" s="107"/>
      <c r="P24" s="125"/>
      <c r="Q24" s="108">
        <f t="shared" si="5"/>
        <v>4</v>
      </c>
      <c r="R24" s="20"/>
      <c r="T24" s="230"/>
      <c r="U24" s="230"/>
    </row>
    <row r="25" spans="1:26" ht="15" customHeight="1" thickBot="1" x14ac:dyDescent="0.35">
      <c r="A25" s="8"/>
      <c r="B25" s="262">
        <v>1</v>
      </c>
      <c r="C25" s="324" t="s">
        <v>18</v>
      </c>
      <c r="D25" s="325"/>
      <c r="E25" s="326"/>
      <c r="F25" s="100">
        <f t="shared" si="6"/>
        <v>9</v>
      </c>
      <c r="G25" s="100">
        <f t="shared" si="7"/>
        <v>3</v>
      </c>
      <c r="H25" s="101">
        <f t="shared" ref="H25:H32" si="8">B25*H13</f>
        <v>1</v>
      </c>
      <c r="I25" s="101"/>
      <c r="J25" s="101"/>
      <c r="K25" s="101"/>
      <c r="L25" s="101"/>
      <c r="M25" s="101"/>
      <c r="N25" s="101"/>
      <c r="O25" s="102"/>
      <c r="P25" s="126"/>
      <c r="Q25" s="108">
        <f t="shared" si="5"/>
        <v>13</v>
      </c>
      <c r="R25" s="20"/>
      <c r="T25" s="230"/>
      <c r="U25" s="230"/>
    </row>
    <row r="26" spans="1:26" ht="15" customHeight="1" thickBot="1" x14ac:dyDescent="0.35">
      <c r="A26" s="8"/>
      <c r="B26" s="262">
        <v>2</v>
      </c>
      <c r="C26" s="330" t="s">
        <v>19</v>
      </c>
      <c r="D26" s="331"/>
      <c r="E26" s="332"/>
      <c r="F26" s="100">
        <f t="shared" si="6"/>
        <v>54</v>
      </c>
      <c r="G26" s="100">
        <f t="shared" si="7"/>
        <v>18</v>
      </c>
      <c r="H26" s="101">
        <f t="shared" si="8"/>
        <v>6</v>
      </c>
      <c r="I26" s="101">
        <f t="shared" ref="I26:I32" si="9">B26*I14</f>
        <v>2</v>
      </c>
      <c r="J26" s="101"/>
      <c r="K26" s="101"/>
      <c r="L26" s="101"/>
      <c r="M26" s="101"/>
      <c r="N26" s="101"/>
      <c r="O26" s="102"/>
      <c r="P26" s="126"/>
      <c r="Q26" s="108">
        <f t="shared" si="5"/>
        <v>80</v>
      </c>
      <c r="R26" s="20"/>
    </row>
    <row r="27" spans="1:26" ht="15" customHeight="1" thickBot="1" x14ac:dyDescent="0.35">
      <c r="A27" s="8"/>
      <c r="B27" s="262">
        <v>0</v>
      </c>
      <c r="C27" s="324" t="s">
        <v>32</v>
      </c>
      <c r="D27" s="325"/>
      <c r="E27" s="326"/>
      <c r="F27" s="100">
        <f t="shared" si="6"/>
        <v>0</v>
      </c>
      <c r="G27" s="100">
        <f t="shared" si="7"/>
        <v>0</v>
      </c>
      <c r="H27" s="101">
        <f t="shared" si="8"/>
        <v>0</v>
      </c>
      <c r="I27" s="101">
        <f t="shared" si="9"/>
        <v>0</v>
      </c>
      <c r="J27" s="101">
        <f t="shared" ref="J27:J32" si="10">B27*J15</f>
        <v>0</v>
      </c>
      <c r="K27" s="101"/>
      <c r="L27" s="101"/>
      <c r="M27" s="101"/>
      <c r="N27" s="101"/>
      <c r="O27" s="102"/>
      <c r="P27" s="126"/>
      <c r="Q27" s="108">
        <f t="shared" si="5"/>
        <v>0</v>
      </c>
      <c r="R27" s="20"/>
    </row>
    <row r="28" spans="1:26" ht="15" customHeight="1" thickBot="1" x14ac:dyDescent="0.35">
      <c r="A28" s="8"/>
      <c r="B28" s="262">
        <v>0</v>
      </c>
      <c r="C28" s="330" t="s">
        <v>97</v>
      </c>
      <c r="D28" s="331"/>
      <c r="E28" s="332"/>
      <c r="F28" s="100">
        <f t="shared" si="6"/>
        <v>0</v>
      </c>
      <c r="G28" s="100">
        <f t="shared" si="7"/>
        <v>0</v>
      </c>
      <c r="H28" s="101">
        <f t="shared" si="8"/>
        <v>0</v>
      </c>
      <c r="I28" s="101">
        <f t="shared" si="9"/>
        <v>0</v>
      </c>
      <c r="J28" s="101">
        <f t="shared" si="10"/>
        <v>0</v>
      </c>
      <c r="K28" s="101">
        <f>B28*K16</f>
        <v>0</v>
      </c>
      <c r="L28" s="101"/>
      <c r="M28" s="101"/>
      <c r="N28" s="101"/>
      <c r="O28" s="102"/>
      <c r="P28" s="126"/>
      <c r="Q28" s="108">
        <f t="shared" si="5"/>
        <v>0</v>
      </c>
      <c r="R28" s="20"/>
    </row>
    <row r="29" spans="1:26" ht="15" customHeight="1" thickBot="1" x14ac:dyDescent="0.35">
      <c r="A29" s="8"/>
      <c r="B29" s="262">
        <v>0</v>
      </c>
      <c r="C29" s="324" t="s">
        <v>33</v>
      </c>
      <c r="D29" s="325"/>
      <c r="E29" s="326"/>
      <c r="F29" s="100">
        <f t="shared" si="6"/>
        <v>0</v>
      </c>
      <c r="G29" s="100">
        <f t="shared" si="7"/>
        <v>0</v>
      </c>
      <c r="H29" s="101">
        <f t="shared" si="8"/>
        <v>0</v>
      </c>
      <c r="I29" s="101">
        <f t="shared" si="9"/>
        <v>0</v>
      </c>
      <c r="J29" s="101">
        <f t="shared" si="10"/>
        <v>0</v>
      </c>
      <c r="K29" s="101">
        <f>B29*K17</f>
        <v>0</v>
      </c>
      <c r="L29" s="101">
        <f>B29*L17</f>
        <v>0</v>
      </c>
      <c r="M29" s="101"/>
      <c r="N29" s="101"/>
      <c r="O29" s="102"/>
      <c r="P29" s="126"/>
      <c r="Q29" s="108">
        <f t="shared" si="5"/>
        <v>0</v>
      </c>
      <c r="R29" s="20"/>
    </row>
    <row r="30" spans="1:26" ht="15" customHeight="1" thickBot="1" x14ac:dyDescent="0.35">
      <c r="A30" s="8"/>
      <c r="B30" s="262"/>
      <c r="C30" s="330" t="s">
        <v>29</v>
      </c>
      <c r="D30" s="331"/>
      <c r="E30" s="332"/>
      <c r="F30" s="100">
        <f t="shared" si="6"/>
        <v>0</v>
      </c>
      <c r="G30" s="100">
        <f t="shared" si="7"/>
        <v>0</v>
      </c>
      <c r="H30" s="101">
        <f t="shared" si="8"/>
        <v>0</v>
      </c>
      <c r="I30" s="101">
        <f t="shared" si="9"/>
        <v>0</v>
      </c>
      <c r="J30" s="101">
        <f t="shared" si="10"/>
        <v>0</v>
      </c>
      <c r="K30" s="101">
        <f>B30*K18</f>
        <v>0</v>
      </c>
      <c r="L30" s="101">
        <f>B30*L18</f>
        <v>0</v>
      </c>
      <c r="M30" s="101">
        <f>B30*M18</f>
        <v>0</v>
      </c>
      <c r="N30" s="101"/>
      <c r="O30" s="102"/>
      <c r="P30" s="126"/>
      <c r="Q30" s="108">
        <f t="shared" si="5"/>
        <v>0</v>
      </c>
      <c r="R30" s="20"/>
    </row>
    <row r="31" spans="1:26" ht="15" customHeight="1" thickBot="1" x14ac:dyDescent="0.35">
      <c r="A31" s="8"/>
      <c r="B31" s="262"/>
      <c r="C31" s="324" t="s">
        <v>30</v>
      </c>
      <c r="D31" s="325"/>
      <c r="E31" s="326"/>
      <c r="F31" s="100">
        <f t="shared" si="6"/>
        <v>0</v>
      </c>
      <c r="G31" s="100">
        <f t="shared" si="7"/>
        <v>0</v>
      </c>
      <c r="H31" s="101">
        <f t="shared" si="8"/>
        <v>0</v>
      </c>
      <c r="I31" s="101">
        <f t="shared" si="9"/>
        <v>0</v>
      </c>
      <c r="J31" s="101">
        <f t="shared" si="10"/>
        <v>0</v>
      </c>
      <c r="K31" s="101">
        <f>B31*K19</f>
        <v>0</v>
      </c>
      <c r="L31" s="101">
        <f>B31*L19</f>
        <v>0</v>
      </c>
      <c r="M31" s="101">
        <f>B31*M19</f>
        <v>0</v>
      </c>
      <c r="N31" s="103">
        <f>B31*N19</f>
        <v>0</v>
      </c>
      <c r="O31" s="102"/>
      <c r="P31" s="126"/>
      <c r="Q31" s="108">
        <f t="shared" si="5"/>
        <v>0</v>
      </c>
      <c r="R31" s="20"/>
    </row>
    <row r="32" spans="1:26" ht="17.25" thickBot="1" x14ac:dyDescent="0.35">
      <c r="A32" s="8"/>
      <c r="B32" s="262"/>
      <c r="C32" s="327" t="s">
        <v>31</v>
      </c>
      <c r="D32" s="328"/>
      <c r="E32" s="329"/>
      <c r="F32" s="104">
        <f t="shared" si="6"/>
        <v>0</v>
      </c>
      <c r="G32" s="104">
        <f t="shared" si="7"/>
        <v>0</v>
      </c>
      <c r="H32" s="105">
        <f t="shared" si="8"/>
        <v>0</v>
      </c>
      <c r="I32" s="105">
        <f t="shared" si="9"/>
        <v>0</v>
      </c>
      <c r="J32" s="105">
        <f t="shared" si="10"/>
        <v>0</v>
      </c>
      <c r="K32" s="105">
        <f>B32*K20</f>
        <v>0</v>
      </c>
      <c r="L32" s="105">
        <f>B32*L20</f>
        <v>0</v>
      </c>
      <c r="M32" s="105">
        <f>B32*M20</f>
        <v>0</v>
      </c>
      <c r="N32" s="105">
        <f>B32*N20</f>
        <v>0</v>
      </c>
      <c r="O32" s="105">
        <f>B32*O20</f>
        <v>0</v>
      </c>
      <c r="P32" s="127"/>
      <c r="Q32" s="108">
        <f t="shared" si="5"/>
        <v>0</v>
      </c>
      <c r="R32" s="20"/>
    </row>
    <row r="33" spans="1:18" ht="7.5" customHeight="1" thickBot="1" x14ac:dyDescent="0.35">
      <c r="A33" s="8"/>
      <c r="B33" s="8"/>
      <c r="C33" s="8"/>
      <c r="D33" s="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  <c r="R33" s="20"/>
    </row>
    <row r="34" spans="1:18" ht="17.25" thickBot="1" x14ac:dyDescent="0.35">
      <c r="A34" s="8"/>
      <c r="B34" s="8"/>
      <c r="C34" s="95"/>
      <c r="D34" s="95"/>
      <c r="E34" s="97" t="s">
        <v>85</v>
      </c>
      <c r="F34" s="99">
        <f>SUM(F23:F32)</f>
        <v>68</v>
      </c>
      <c r="G34" s="99">
        <f>SUM(G23:G32)</f>
        <v>22</v>
      </c>
      <c r="H34" s="99">
        <f>SUM(H23:H32)</f>
        <v>7</v>
      </c>
      <c r="I34" s="99">
        <f>SUM(I23:I32)</f>
        <v>2</v>
      </c>
      <c r="J34" s="99">
        <f t="shared" ref="J34:P34" si="11">SUM(J23:J32)</f>
        <v>0</v>
      </c>
      <c r="K34" s="99">
        <f t="shared" si="11"/>
        <v>0</v>
      </c>
      <c r="L34" s="99">
        <f t="shared" si="11"/>
        <v>0</v>
      </c>
      <c r="M34" s="99">
        <f t="shared" si="11"/>
        <v>0</v>
      </c>
      <c r="N34" s="99">
        <f t="shared" si="11"/>
        <v>0</v>
      </c>
      <c r="O34" s="99">
        <f t="shared" si="11"/>
        <v>0</v>
      </c>
      <c r="P34" s="99">
        <f t="shared" si="11"/>
        <v>1</v>
      </c>
      <c r="Q34" s="58">
        <f>SUM(Q23:Q32)</f>
        <v>100</v>
      </c>
      <c r="R34" s="20"/>
    </row>
    <row r="35" spans="1:18" ht="7.5" customHeight="1" thickBot="1" x14ac:dyDescent="0.35">
      <c r="A35" s="8"/>
      <c r="B35" s="8"/>
      <c r="C35" s="8"/>
      <c r="D35" s="8"/>
      <c r="E35" s="96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42"/>
      <c r="R35" s="20"/>
    </row>
    <row r="36" spans="1:18" ht="17.25" thickBot="1" x14ac:dyDescent="0.35">
      <c r="A36" s="8"/>
      <c r="B36" s="8"/>
      <c r="C36" s="95"/>
      <c r="D36" s="95"/>
      <c r="E36" s="128" t="s">
        <v>138</v>
      </c>
      <c r="F36" s="265"/>
      <c r="G36" s="265"/>
      <c r="H36" s="265"/>
      <c r="I36" s="265"/>
      <c r="J36" s="98"/>
      <c r="K36" s="98"/>
      <c r="L36" s="98"/>
      <c r="M36" s="98"/>
      <c r="N36" s="98"/>
      <c r="O36" s="98"/>
      <c r="P36" s="109"/>
      <c r="Q36" s="50">
        <f>SUM(F36:O36)</f>
        <v>0</v>
      </c>
      <c r="R36" s="20"/>
    </row>
    <row r="37" spans="1:18" ht="7.5" customHeight="1" thickBot="1" x14ac:dyDescent="0.35">
      <c r="A37" s="8"/>
      <c r="B37" s="8"/>
      <c r="C37" s="8"/>
      <c r="D37" s="8"/>
      <c r="E37" s="96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42"/>
      <c r="R37" s="20"/>
    </row>
    <row r="38" spans="1:18" ht="17.25" thickBot="1" x14ac:dyDescent="0.35">
      <c r="A38" s="8"/>
      <c r="B38" s="8"/>
      <c r="C38" s="95"/>
      <c r="D38" s="95"/>
      <c r="E38" s="97" t="s">
        <v>86</v>
      </c>
      <c r="F38" s="99">
        <f t="shared" ref="F38:P38" si="12">F34-F36</f>
        <v>68</v>
      </c>
      <c r="G38" s="99">
        <f t="shared" si="12"/>
        <v>22</v>
      </c>
      <c r="H38" s="99">
        <f t="shared" si="12"/>
        <v>7</v>
      </c>
      <c r="I38" s="99">
        <f t="shared" si="12"/>
        <v>2</v>
      </c>
      <c r="J38" s="99">
        <f t="shared" si="12"/>
        <v>0</v>
      </c>
      <c r="K38" s="99">
        <f t="shared" si="12"/>
        <v>0</v>
      </c>
      <c r="L38" s="99">
        <f t="shared" si="12"/>
        <v>0</v>
      </c>
      <c r="M38" s="99">
        <f t="shared" si="12"/>
        <v>0</v>
      </c>
      <c r="N38" s="99">
        <f t="shared" si="12"/>
        <v>0</v>
      </c>
      <c r="O38" s="99">
        <f t="shared" si="12"/>
        <v>0</v>
      </c>
      <c r="P38" s="99">
        <f t="shared" si="12"/>
        <v>1</v>
      </c>
      <c r="Q38" s="50">
        <f>SUM(F38:P38)</f>
        <v>100</v>
      </c>
      <c r="R38" s="20"/>
    </row>
    <row r="39" spans="1:18" ht="14.25" customHeight="1" thickBot="1" x14ac:dyDescent="0.35">
      <c r="A39" s="7"/>
      <c r="B39" s="7"/>
      <c r="C39" s="7"/>
      <c r="D39" s="7"/>
      <c r="E39" s="7"/>
      <c r="F39" s="7"/>
      <c r="G39" s="11"/>
      <c r="H39" s="11"/>
      <c r="I39" s="11"/>
      <c r="J39" s="11"/>
      <c r="K39" s="11"/>
      <c r="L39" s="11"/>
      <c r="M39" s="11"/>
      <c r="N39" s="11"/>
      <c r="O39" s="11"/>
      <c r="P39" s="7"/>
      <c r="Q39" s="11"/>
      <c r="R39" s="20"/>
    </row>
    <row r="40" spans="1:18" ht="17.25" customHeight="1" thickBot="1" x14ac:dyDescent="0.35">
      <c r="A40" s="8"/>
      <c r="B40" s="8"/>
      <c r="C40" s="336" t="s">
        <v>25</v>
      </c>
      <c r="D40" s="337"/>
      <c r="E40" s="338"/>
      <c r="F40" s="111" t="s">
        <v>26</v>
      </c>
      <c r="G40" s="11"/>
      <c r="H40" s="419" t="s">
        <v>133</v>
      </c>
      <c r="I40" s="420"/>
      <c r="J40" s="12"/>
      <c r="K40" s="52"/>
      <c r="L40" s="53" t="s">
        <v>22</v>
      </c>
      <c r="M40" s="266">
        <v>100</v>
      </c>
      <c r="N40" s="7"/>
      <c r="O40" s="56"/>
      <c r="P40" s="57" t="s">
        <v>92</v>
      </c>
      <c r="Q40" s="51">
        <f>SUM(Q36+Q38)-(M40)</f>
        <v>0</v>
      </c>
      <c r="R40" s="20"/>
    </row>
    <row r="41" spans="1:18" ht="17.25" customHeight="1" thickBot="1" x14ac:dyDescent="0.35">
      <c r="A41" s="8"/>
      <c r="B41" s="8"/>
      <c r="C41" s="333" t="s">
        <v>106</v>
      </c>
      <c r="D41" s="334"/>
      <c r="E41" s="335"/>
      <c r="F41" s="129">
        <f>M40/P12</f>
        <v>25</v>
      </c>
      <c r="G41" s="11"/>
      <c r="H41" s="414" t="s">
        <v>134</v>
      </c>
      <c r="I41" s="415"/>
      <c r="J41" s="12"/>
      <c r="K41" s="12"/>
      <c r="L41" s="12"/>
      <c r="M41" s="12"/>
      <c r="N41" s="7"/>
      <c r="O41" s="7"/>
      <c r="P41" s="13"/>
      <c r="Q41" s="14"/>
      <c r="R41" s="20"/>
    </row>
    <row r="42" spans="1:18" ht="17.25" thickBot="1" x14ac:dyDescent="0.35">
      <c r="A42" s="8"/>
      <c r="B42" s="8"/>
      <c r="C42" s="333" t="s">
        <v>107</v>
      </c>
      <c r="D42" s="334"/>
      <c r="E42" s="335"/>
      <c r="F42" s="129">
        <f>M40/P13</f>
        <v>7.6923076923076925</v>
      </c>
      <c r="G42" s="112"/>
      <c r="H42" s="416"/>
      <c r="I42" s="415"/>
      <c r="J42" s="12"/>
      <c r="K42" s="54" t="s">
        <v>48</v>
      </c>
      <c r="L42" s="55"/>
      <c r="M42" s="266"/>
      <c r="N42" s="7"/>
      <c r="O42" s="56"/>
      <c r="P42" s="53"/>
      <c r="Q42" s="412" t="e">
        <f>IF(AND(Q47&gt;49,Q47&lt;101),"Pequeña",IF(AND(Q47&gt;99,Q47&lt;151),"Mediana",IF(AND(Q47&gt;149,Q47&lt;201),"Grande","Fuera de rango")))</f>
        <v>#DIV/0!</v>
      </c>
      <c r="R42" s="20"/>
    </row>
    <row r="43" spans="1:18" ht="17.25" thickBot="1" x14ac:dyDescent="0.35">
      <c r="A43" s="8"/>
      <c r="B43" s="8"/>
      <c r="C43" s="333" t="s">
        <v>108</v>
      </c>
      <c r="D43" s="334"/>
      <c r="E43" s="335"/>
      <c r="F43" s="129">
        <f>M40/P14</f>
        <v>2.5</v>
      </c>
      <c r="G43" s="11"/>
      <c r="H43" s="416"/>
      <c r="I43" s="415"/>
      <c r="J43" s="12"/>
      <c r="K43" s="7"/>
      <c r="L43" s="7"/>
      <c r="M43" s="7"/>
      <c r="N43" s="7"/>
      <c r="O43" s="56"/>
      <c r="P43" s="53" t="s">
        <v>24</v>
      </c>
      <c r="Q43" s="413"/>
      <c r="R43" s="20"/>
    </row>
    <row r="44" spans="1:18" ht="18" customHeight="1" thickBot="1" x14ac:dyDescent="0.35">
      <c r="A44" s="8"/>
      <c r="B44" s="8"/>
      <c r="C44" s="333" t="s">
        <v>109</v>
      </c>
      <c r="D44" s="334"/>
      <c r="E44" s="335"/>
      <c r="F44" s="129">
        <f>M40/P15</f>
        <v>0.82644628099173556</v>
      </c>
      <c r="G44" s="11"/>
      <c r="H44" s="417"/>
      <c r="I44" s="418"/>
      <c r="J44" s="12"/>
      <c r="K44" s="54" t="s">
        <v>105</v>
      </c>
      <c r="L44" s="55"/>
      <c r="M44" s="266"/>
      <c r="N44" s="7"/>
      <c r="O44" s="7"/>
      <c r="P44" s="7"/>
      <c r="Q44" s="7"/>
      <c r="R44" s="20"/>
    </row>
    <row r="45" spans="1:18" ht="18" customHeight="1" thickBot="1" x14ac:dyDescent="0.35">
      <c r="A45" s="8"/>
      <c r="B45" s="8"/>
      <c r="C45" s="333" t="s">
        <v>110</v>
      </c>
      <c r="D45" s="334"/>
      <c r="E45" s="335"/>
      <c r="F45" s="129">
        <f>M40/P16</f>
        <v>0.27472527472527475</v>
      </c>
      <c r="G45" s="11"/>
      <c r="H45" s="7"/>
      <c r="I45" s="7"/>
      <c r="J45" s="7"/>
      <c r="K45" s="7"/>
      <c r="L45" s="7"/>
      <c r="M45" s="7"/>
      <c r="N45" s="7"/>
      <c r="O45" s="56"/>
      <c r="P45" s="53" t="s">
        <v>132</v>
      </c>
      <c r="Q45" s="110" t="e">
        <f>SUM(Q47-(150))</f>
        <v>#DIV/0!</v>
      </c>
      <c r="R45" s="20"/>
    </row>
    <row r="46" spans="1:18" ht="18" customHeight="1" thickBot="1" x14ac:dyDescent="0.35">
      <c r="A46" s="8"/>
      <c r="B46" s="8"/>
      <c r="C46" s="333" t="s">
        <v>111</v>
      </c>
      <c r="D46" s="334"/>
      <c r="E46" s="335"/>
      <c r="F46" s="129">
        <f>M40/P17</f>
        <v>9.1491308325709064E-2</v>
      </c>
      <c r="G46" s="11"/>
      <c r="H46" s="373" t="s">
        <v>78</v>
      </c>
      <c r="I46" s="374"/>
      <c r="J46" s="374"/>
      <c r="K46" s="374"/>
      <c r="L46" s="375"/>
      <c r="M46" s="7"/>
      <c r="N46" s="7"/>
      <c r="O46" s="7"/>
      <c r="P46" s="49"/>
      <c r="Q46" s="49"/>
      <c r="R46" s="20"/>
    </row>
    <row r="47" spans="1:18" ht="16.5" customHeight="1" thickBot="1" x14ac:dyDescent="0.35">
      <c r="A47" s="8"/>
      <c r="B47" s="8"/>
      <c r="C47" s="333" t="s">
        <v>112</v>
      </c>
      <c r="D47" s="334"/>
      <c r="E47" s="335"/>
      <c r="F47" s="129">
        <f>M40/P18</f>
        <v>3.048780487804878E-2</v>
      </c>
      <c r="G47" s="11"/>
      <c r="H47" s="427" t="s">
        <v>135</v>
      </c>
      <c r="I47" s="428"/>
      <c r="J47" s="428"/>
      <c r="K47" s="428"/>
      <c r="L47" s="429"/>
      <c r="M47" s="7"/>
      <c r="N47" s="7"/>
      <c r="O47" s="56"/>
      <c r="P47" s="53" t="s">
        <v>119</v>
      </c>
      <c r="Q47" s="130" t="e">
        <f>M40/M44*100000</f>
        <v>#DIV/0!</v>
      </c>
      <c r="R47" s="20"/>
    </row>
    <row r="48" spans="1:18" ht="16.5" customHeight="1" thickBot="1" x14ac:dyDescent="0.35">
      <c r="A48" s="8"/>
      <c r="B48" s="8"/>
      <c r="C48" s="333" t="s">
        <v>113</v>
      </c>
      <c r="D48" s="334"/>
      <c r="E48" s="335"/>
      <c r="F48" s="129">
        <f>M40/P19</f>
        <v>1.01615689462453E-2</v>
      </c>
      <c r="G48" s="11"/>
      <c r="H48" s="430"/>
      <c r="I48" s="428"/>
      <c r="J48" s="428"/>
      <c r="K48" s="428"/>
      <c r="L48" s="429"/>
      <c r="M48" s="7"/>
      <c r="N48" s="7"/>
      <c r="O48" s="7"/>
      <c r="P48" s="49"/>
      <c r="Q48" s="131"/>
      <c r="R48" s="20"/>
    </row>
    <row r="49" spans="1:18" ht="16.5" customHeight="1" thickBot="1" x14ac:dyDescent="0.35">
      <c r="A49" s="8"/>
      <c r="B49" s="8"/>
      <c r="C49" s="333" t="s">
        <v>114</v>
      </c>
      <c r="D49" s="334"/>
      <c r="E49" s="335"/>
      <c r="F49" s="129">
        <f>M40/P20</f>
        <v>3.3870749220972769E-3</v>
      </c>
      <c r="G49" s="11"/>
      <c r="H49" s="431"/>
      <c r="I49" s="432"/>
      <c r="J49" s="432"/>
      <c r="K49" s="432"/>
      <c r="L49" s="433"/>
      <c r="M49" s="7"/>
      <c r="N49" s="7"/>
      <c r="O49" s="56"/>
      <c r="P49" s="53" t="s">
        <v>120</v>
      </c>
      <c r="Q49" s="130" t="e">
        <f>M40/M44*1000</f>
        <v>#DIV/0!</v>
      </c>
      <c r="R49" s="20"/>
    </row>
    <row r="50" spans="1:18" ht="13.5" customHeight="1" x14ac:dyDescent="0.3">
      <c r="A50" s="8"/>
      <c r="B50" s="8"/>
      <c r="C50" s="8"/>
      <c r="D50" s="8"/>
      <c r="E50" s="7"/>
      <c r="F50" s="8"/>
      <c r="G50" s="8"/>
      <c r="H50" s="7"/>
      <c r="I50" s="19"/>
      <c r="J50" s="11"/>
      <c r="K50" s="11"/>
      <c r="L50" s="7"/>
      <c r="M50" s="7"/>
      <c r="N50" s="7"/>
      <c r="O50" s="7"/>
      <c r="P50" s="7"/>
      <c r="Q50" s="7"/>
      <c r="R50" s="20"/>
    </row>
    <row r="51" spans="1:18" ht="21" customHeight="1" x14ac:dyDescent="0.3">
      <c r="A51" s="5"/>
      <c r="B51" s="5"/>
      <c r="C51" s="34" t="s">
        <v>90</v>
      </c>
      <c r="D51" s="5"/>
      <c r="E51" s="5"/>
      <c r="F51" s="5"/>
      <c r="G51" s="5"/>
      <c r="H51" s="5"/>
      <c r="I51" s="34" t="s">
        <v>136</v>
      </c>
      <c r="J51" s="5"/>
      <c r="K51" s="5"/>
      <c r="L51" s="5"/>
      <c r="M51" s="5"/>
      <c r="N51" s="5"/>
      <c r="O51" s="5"/>
      <c r="P51" s="5"/>
      <c r="Q51" s="5"/>
      <c r="R51" s="20"/>
    </row>
    <row r="52" spans="1:18" ht="8.25" customHeight="1" x14ac:dyDescent="0.3">
      <c r="A52" s="3"/>
      <c r="B52" s="3"/>
      <c r="C52" s="3"/>
      <c r="D52" s="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0"/>
    </row>
    <row r="53" spans="1:18" ht="26.25" customHeight="1" thickBot="1" x14ac:dyDescent="0.35">
      <c r="A53" s="3"/>
      <c r="B53" s="3"/>
      <c r="C53" s="3"/>
      <c r="D53" s="3"/>
      <c r="E53" s="7"/>
      <c r="F53" s="70" t="s">
        <v>151</v>
      </c>
      <c r="G53" s="10"/>
      <c r="H53" s="426" t="s">
        <v>38</v>
      </c>
      <c r="I53" s="426"/>
      <c r="J53" s="426"/>
      <c r="K53" s="7"/>
      <c r="L53" s="7"/>
      <c r="M53" s="7"/>
      <c r="N53" s="237"/>
      <c r="O53" s="7"/>
      <c r="P53" s="7"/>
      <c r="Q53" s="7"/>
      <c r="R53" s="20"/>
    </row>
    <row r="54" spans="1:18" ht="18.75" customHeight="1" thickBot="1" x14ac:dyDescent="0.35">
      <c r="A54" s="3"/>
      <c r="B54" s="3"/>
      <c r="C54" s="3"/>
      <c r="D54" s="3"/>
      <c r="E54" s="7"/>
      <c r="F54" s="267">
        <v>0</v>
      </c>
      <c r="G54" s="7"/>
      <c r="H54" s="270">
        <v>0</v>
      </c>
      <c r="I54" s="270">
        <v>0</v>
      </c>
      <c r="J54" s="270">
        <v>0.05</v>
      </c>
      <c r="K54" s="7"/>
      <c r="L54" s="7" t="s">
        <v>166</v>
      </c>
      <c r="M54" s="409" t="s">
        <v>21</v>
      </c>
      <c r="N54" s="237" t="s">
        <v>121</v>
      </c>
      <c r="O54" s="7" t="s">
        <v>122</v>
      </c>
      <c r="P54" s="7" t="s">
        <v>20</v>
      </c>
      <c r="Q54" s="7"/>
      <c r="R54" s="20"/>
    </row>
    <row r="55" spans="1:18" ht="11.25" customHeight="1" thickBot="1" x14ac:dyDescent="0.35">
      <c r="A55" s="3"/>
      <c r="B55" s="3"/>
      <c r="C55" s="356" t="s">
        <v>37</v>
      </c>
      <c r="D55" s="3"/>
      <c r="E55" s="7"/>
      <c r="F55" s="7"/>
      <c r="G55" s="7"/>
      <c r="H55" s="7"/>
      <c r="I55" s="7"/>
      <c r="J55" s="7"/>
      <c r="K55" s="7"/>
      <c r="L55" s="7"/>
      <c r="M55" s="410"/>
      <c r="N55" s="7"/>
      <c r="O55" s="7"/>
      <c r="P55" s="7"/>
      <c r="Q55" s="7"/>
      <c r="R55" s="20"/>
    </row>
    <row r="56" spans="1:18" ht="27" customHeight="1" thickBot="1" x14ac:dyDescent="0.35">
      <c r="A56" s="3"/>
      <c r="B56" s="3"/>
      <c r="C56" s="357"/>
      <c r="D56" s="3"/>
      <c r="E56" s="7"/>
      <c r="F56" s="22"/>
      <c r="G56" s="61" t="s">
        <v>5</v>
      </c>
      <c r="H56" s="61" t="s">
        <v>6</v>
      </c>
      <c r="I56" s="61" t="s">
        <v>7</v>
      </c>
      <c r="J56" s="61" t="s">
        <v>8</v>
      </c>
      <c r="K56" s="62" t="s">
        <v>39</v>
      </c>
      <c r="L56" s="7"/>
      <c r="M56" s="233">
        <f>SUM(M57:M67)</f>
        <v>0</v>
      </c>
      <c r="N56" s="273" t="s">
        <v>121</v>
      </c>
      <c r="O56" s="66" t="s">
        <v>122</v>
      </c>
      <c r="P56" s="66" t="s">
        <v>20</v>
      </c>
      <c r="Q56" s="7"/>
      <c r="R56" s="20"/>
    </row>
    <row r="57" spans="1:18" ht="20.100000000000001" customHeight="1" thickBot="1" x14ac:dyDescent="0.35">
      <c r="A57" s="3"/>
      <c r="B57" s="3"/>
      <c r="C57" s="268">
        <v>0</v>
      </c>
      <c r="D57" s="228" t="s">
        <v>88</v>
      </c>
      <c r="E57" s="215" t="s">
        <v>87</v>
      </c>
      <c r="F57" s="63" t="s">
        <v>41</v>
      </c>
      <c r="G57" s="44">
        <f>+F54*C57+F54</f>
        <v>0</v>
      </c>
      <c r="H57" s="69">
        <f>G57*$H54+G57</f>
        <v>0</v>
      </c>
      <c r="I57" s="44">
        <f>H57*$I54+H57</f>
        <v>0</v>
      </c>
      <c r="J57" s="44">
        <f>I57*$J54+I57</f>
        <v>0</v>
      </c>
      <c r="K57" s="272">
        <f ca="1">+'Matriz de impacto'!J127</f>
        <v>0</v>
      </c>
      <c r="L57" s="133" t="s">
        <v>41</v>
      </c>
      <c r="M57" s="285">
        <f>+'Matriz de impacto'!F127</f>
        <v>0</v>
      </c>
      <c r="N57" s="274">
        <f t="shared" ref="N57:N62" si="13">H57*M57</f>
        <v>0</v>
      </c>
      <c r="O57" s="67">
        <f t="shared" ref="O57:O67" ca="1" si="14">+K57</f>
        <v>0</v>
      </c>
      <c r="P57" s="68">
        <f t="shared" ref="P57:P67" ca="1" si="15">O57+N57</f>
        <v>0</v>
      </c>
      <c r="Q57" s="7"/>
      <c r="R57" s="20"/>
    </row>
    <row r="58" spans="1:18" ht="20.100000000000001" customHeight="1" thickBot="1" x14ac:dyDescent="0.35">
      <c r="A58" s="3"/>
      <c r="B58" s="3"/>
      <c r="C58" s="268">
        <v>0.2</v>
      </c>
      <c r="D58" s="228" t="s">
        <v>89</v>
      </c>
      <c r="E58" s="215" t="s">
        <v>115</v>
      </c>
      <c r="F58" s="63" t="s">
        <v>34</v>
      </c>
      <c r="G58" s="44">
        <f t="shared" ref="G58:G67" si="16">G57*C58+G57</f>
        <v>0</v>
      </c>
      <c r="H58" s="69">
        <f>G58*$H54+G58</f>
        <v>0</v>
      </c>
      <c r="I58" s="44">
        <f>H58*$I54+H58</f>
        <v>0</v>
      </c>
      <c r="J58" s="44">
        <f>I58*$J54+I58</f>
        <v>0</v>
      </c>
      <c r="K58" s="272">
        <f ca="1">+'Matriz de impacto'!J128</f>
        <v>0</v>
      </c>
      <c r="L58" s="133" t="s">
        <v>34</v>
      </c>
      <c r="M58" s="286">
        <f>+'Matriz de impacto'!F128</f>
        <v>0</v>
      </c>
      <c r="N58" s="275">
        <f t="shared" si="13"/>
        <v>0</v>
      </c>
      <c r="O58" s="67">
        <f t="shared" ca="1" si="14"/>
        <v>0</v>
      </c>
      <c r="P58" s="68">
        <f t="shared" ca="1" si="15"/>
        <v>0</v>
      </c>
      <c r="Q58" s="7"/>
      <c r="R58" s="20"/>
    </row>
    <row r="59" spans="1:18" ht="20.100000000000001" customHeight="1" thickBot="1" x14ac:dyDescent="0.35">
      <c r="A59" s="3"/>
      <c r="B59" s="3"/>
      <c r="C59" s="268">
        <v>0.2</v>
      </c>
      <c r="D59" s="3"/>
      <c r="E59" s="113"/>
      <c r="F59" s="63" t="s">
        <v>35</v>
      </c>
      <c r="G59" s="44">
        <f t="shared" si="16"/>
        <v>0</v>
      </c>
      <c r="H59" s="69">
        <f>G59*$H54+G59</f>
        <v>0</v>
      </c>
      <c r="I59" s="44">
        <f>H59*$I54+H59</f>
        <v>0</v>
      </c>
      <c r="J59" s="44">
        <f>I59*$J54+I59</f>
        <v>0</v>
      </c>
      <c r="K59" s="272">
        <f ca="1">+'Matriz de impacto'!J129</f>
        <v>0</v>
      </c>
      <c r="L59" s="133" t="s">
        <v>35</v>
      </c>
      <c r="M59" s="286">
        <f>+'Matriz de impacto'!F129</f>
        <v>0</v>
      </c>
      <c r="N59" s="275">
        <f t="shared" si="13"/>
        <v>0</v>
      </c>
      <c r="O59" s="67">
        <f t="shared" ca="1" si="14"/>
        <v>0</v>
      </c>
      <c r="P59" s="68">
        <f t="shared" ca="1" si="15"/>
        <v>0</v>
      </c>
      <c r="Q59" s="7"/>
      <c r="R59" s="20"/>
    </row>
    <row r="60" spans="1:18" ht="20.100000000000001" customHeight="1" thickBot="1" x14ac:dyDescent="0.35">
      <c r="A60" s="3"/>
      <c r="B60" s="3"/>
      <c r="C60" s="268">
        <v>0.2</v>
      </c>
      <c r="D60" s="3"/>
      <c r="E60" s="113"/>
      <c r="F60" s="64" t="s">
        <v>36</v>
      </c>
      <c r="G60" s="44">
        <f t="shared" si="16"/>
        <v>0</v>
      </c>
      <c r="H60" s="69">
        <f>G60*$H54+G60</f>
        <v>0</v>
      </c>
      <c r="I60" s="44">
        <f>H60*$I54+H60</f>
        <v>0</v>
      </c>
      <c r="J60" s="44">
        <f>I60*$J54+I60</f>
        <v>0</v>
      </c>
      <c r="K60" s="272">
        <f ca="1">+'Matriz de impacto'!J130</f>
        <v>0</v>
      </c>
      <c r="L60" s="271" t="s">
        <v>36</v>
      </c>
      <c r="M60" s="286">
        <f>+'Matriz de impacto'!F130</f>
        <v>0</v>
      </c>
      <c r="N60" s="275">
        <f t="shared" si="13"/>
        <v>0</v>
      </c>
      <c r="O60" s="67">
        <f t="shared" ca="1" si="14"/>
        <v>0</v>
      </c>
      <c r="P60" s="68">
        <f t="shared" ca="1" si="15"/>
        <v>0</v>
      </c>
      <c r="Q60" s="7"/>
      <c r="R60" s="20"/>
    </row>
    <row r="61" spans="1:18" ht="20.25" customHeight="1" thickBot="1" x14ac:dyDescent="0.35">
      <c r="A61" s="3"/>
      <c r="B61" s="3"/>
      <c r="C61" s="269">
        <v>0</v>
      </c>
      <c r="D61" s="3"/>
      <c r="E61" s="113"/>
      <c r="F61" s="290" t="s">
        <v>0</v>
      </c>
      <c r="G61" s="288">
        <f t="shared" si="16"/>
        <v>0</v>
      </c>
      <c r="H61" s="69">
        <f>G61*$H54+G61</f>
        <v>0</v>
      </c>
      <c r="I61" s="288">
        <f>H61*$I54+H61</f>
        <v>0</v>
      </c>
      <c r="J61" s="44">
        <f>I61*$J54+I61</f>
        <v>0</v>
      </c>
      <c r="K61" s="272">
        <f ca="1">+'Matriz de impacto'!J131</f>
        <v>0</v>
      </c>
      <c r="L61" s="291" t="s">
        <v>0</v>
      </c>
      <c r="M61" s="292">
        <f>+'Matriz de impacto'!F131</f>
        <v>0</v>
      </c>
      <c r="N61" s="293">
        <f t="shared" si="13"/>
        <v>0</v>
      </c>
      <c r="O61" s="294">
        <f t="shared" ca="1" si="14"/>
        <v>0</v>
      </c>
      <c r="P61" s="295">
        <f ca="1">O61+N61</f>
        <v>0</v>
      </c>
      <c r="Q61" s="7"/>
      <c r="R61" s="20"/>
    </row>
    <row r="62" spans="1:18" ht="19.5" customHeight="1" thickBot="1" x14ac:dyDescent="0.35">
      <c r="A62" s="3"/>
      <c r="B62" s="3"/>
      <c r="C62" s="268">
        <v>0</v>
      </c>
      <c r="D62" s="3"/>
      <c r="E62" s="113"/>
      <c r="F62" s="290" t="s">
        <v>1</v>
      </c>
      <c r="G62" s="288">
        <f t="shared" si="16"/>
        <v>0</v>
      </c>
      <c r="H62" s="69">
        <f>G62*$H54+G62</f>
        <v>0</v>
      </c>
      <c r="I62" s="288">
        <f>H62*$I54+H62</f>
        <v>0</v>
      </c>
      <c r="J62" s="44">
        <f>I62*$J54+I62</f>
        <v>0</v>
      </c>
      <c r="K62" s="272">
        <f ca="1">+'Matriz de impacto'!J132</f>
        <v>0</v>
      </c>
      <c r="L62" s="291" t="s">
        <v>1</v>
      </c>
      <c r="M62" s="292">
        <f>+'Matriz de impacto'!F132</f>
        <v>0</v>
      </c>
      <c r="N62" s="293">
        <f t="shared" si="13"/>
        <v>0</v>
      </c>
      <c r="O62" s="294">
        <f t="shared" ca="1" si="14"/>
        <v>0</v>
      </c>
      <c r="P62" s="295">
        <f ca="1">O62+N62</f>
        <v>0</v>
      </c>
      <c r="Q62" s="7"/>
      <c r="R62" s="20"/>
    </row>
    <row r="63" spans="1:18" ht="19.5" customHeight="1" thickBot="1" x14ac:dyDescent="0.35">
      <c r="A63" s="3"/>
      <c r="B63" s="3"/>
      <c r="C63" s="268">
        <v>0</v>
      </c>
      <c r="D63" s="3"/>
      <c r="E63" s="113"/>
      <c r="F63" s="290" t="s">
        <v>2</v>
      </c>
      <c r="G63" s="288">
        <f t="shared" si="16"/>
        <v>0</v>
      </c>
      <c r="H63" s="288">
        <f>G63*$H54+G63</f>
        <v>0</v>
      </c>
      <c r="I63" s="288">
        <f>H63*$I54+H63</f>
        <v>0</v>
      </c>
      <c r="J63" s="259">
        <f>I63*$J54+I63</f>
        <v>0</v>
      </c>
      <c r="K63" s="272">
        <f ca="1">+'Matriz de impacto'!J133</f>
        <v>0</v>
      </c>
      <c r="L63" s="291" t="s">
        <v>2</v>
      </c>
      <c r="M63" s="292">
        <f>+'Matriz de impacto'!F133</f>
        <v>0</v>
      </c>
      <c r="N63" s="293">
        <f>J63*M63</f>
        <v>0</v>
      </c>
      <c r="O63" s="294">
        <f t="shared" ca="1" si="14"/>
        <v>0</v>
      </c>
      <c r="P63" s="295">
        <f ca="1">O63+N63</f>
        <v>0</v>
      </c>
      <c r="Q63" s="7"/>
      <c r="R63" s="20"/>
    </row>
    <row r="64" spans="1:18" ht="19.5" customHeight="1" thickBot="1" x14ac:dyDescent="0.35">
      <c r="A64" s="3"/>
      <c r="B64" s="3"/>
      <c r="C64" s="268">
        <v>0</v>
      </c>
      <c r="D64" s="3"/>
      <c r="E64" s="113"/>
      <c r="F64" s="288" t="s">
        <v>3</v>
      </c>
      <c r="G64" s="288">
        <f t="shared" si="16"/>
        <v>0</v>
      </c>
      <c r="H64" s="288">
        <f>G64*$H54+G64</f>
        <v>0</v>
      </c>
      <c r="I64" s="44">
        <f>H64*$I54+H64</f>
        <v>0</v>
      </c>
      <c r="J64" s="259">
        <f>I64*$J54+I64</f>
        <v>0</v>
      </c>
      <c r="K64" s="272">
        <f ca="1">+'Matriz de impacto'!J134</f>
        <v>0</v>
      </c>
      <c r="L64" s="272" t="s">
        <v>3</v>
      </c>
      <c r="M64" s="272">
        <f>+'Matriz de impacto'!F134</f>
        <v>0</v>
      </c>
      <c r="N64" s="272">
        <f>J64*M64</f>
        <v>0</v>
      </c>
      <c r="O64" s="272">
        <f t="shared" ca="1" si="14"/>
        <v>0</v>
      </c>
      <c r="P64" s="272">
        <f t="shared" ca="1" si="15"/>
        <v>0</v>
      </c>
      <c r="Q64" s="7"/>
      <c r="R64" s="20"/>
    </row>
    <row r="65" spans="1:19" ht="19.5" customHeight="1" thickBot="1" x14ac:dyDescent="0.35">
      <c r="A65" s="3"/>
      <c r="B65" s="3"/>
      <c r="C65" s="268">
        <v>0</v>
      </c>
      <c r="D65" s="3"/>
      <c r="E65" s="113"/>
      <c r="F65" s="124" t="s">
        <v>129</v>
      </c>
      <c r="G65" s="44">
        <f t="shared" si="16"/>
        <v>0</v>
      </c>
      <c r="H65" s="44">
        <f>G65*$H54+G65</f>
        <v>0</v>
      </c>
      <c r="I65" s="44">
        <f>H65*$I54+H65</f>
        <v>0</v>
      </c>
      <c r="J65" s="259">
        <f>I65*$J54+I65</f>
        <v>0</v>
      </c>
      <c r="K65" s="272">
        <f ca="1">+'Matriz de impacto'!J135</f>
        <v>0</v>
      </c>
      <c r="L65" s="272" t="s">
        <v>129</v>
      </c>
      <c r="M65" s="272">
        <f>+'Matriz de impacto'!F135</f>
        <v>0</v>
      </c>
      <c r="N65" s="272">
        <f>J65*M65</f>
        <v>0</v>
      </c>
      <c r="O65" s="272">
        <f t="shared" ca="1" si="14"/>
        <v>0</v>
      </c>
      <c r="P65" s="272">
        <f ca="1">O65+N65</f>
        <v>0</v>
      </c>
      <c r="Q65" s="7"/>
      <c r="R65" s="20"/>
    </row>
    <row r="66" spans="1:19" ht="19.5" customHeight="1" thickBot="1" x14ac:dyDescent="0.35">
      <c r="A66" s="3"/>
      <c r="B66" s="3"/>
      <c r="C66" s="268">
        <v>0</v>
      </c>
      <c r="D66" s="3"/>
      <c r="E66" s="113"/>
      <c r="F66" s="124" t="s">
        <v>130</v>
      </c>
      <c r="G66" s="44">
        <f t="shared" si="16"/>
        <v>0</v>
      </c>
      <c r="H66" s="44">
        <f>G66*$H54+G66</f>
        <v>0</v>
      </c>
      <c r="I66" s="44">
        <f>H66*$I54+H66</f>
        <v>0</v>
      </c>
      <c r="J66" s="259">
        <f>I66*$J54+I66</f>
        <v>0</v>
      </c>
      <c r="K66" s="272">
        <f ca="1">+'Matriz de impacto'!J136</f>
        <v>0</v>
      </c>
      <c r="L66" s="272" t="s">
        <v>130</v>
      </c>
      <c r="M66" s="272">
        <f>+'Matriz de impacto'!F136</f>
        <v>0</v>
      </c>
      <c r="N66" s="272">
        <f>J66*M66</f>
        <v>0</v>
      </c>
      <c r="O66" s="272">
        <f t="shared" ca="1" si="14"/>
        <v>0</v>
      </c>
      <c r="P66" s="272">
        <f ca="1">O66+N66</f>
        <v>0</v>
      </c>
      <c r="Q66" s="7"/>
      <c r="R66" s="20"/>
    </row>
    <row r="67" spans="1:19" ht="19.5" customHeight="1" thickBot="1" x14ac:dyDescent="0.35">
      <c r="A67" s="3"/>
      <c r="B67" s="3"/>
      <c r="C67" s="268">
        <v>0.2</v>
      </c>
      <c r="D67" s="3"/>
      <c r="E67" s="113"/>
      <c r="F67" s="63" t="s">
        <v>4</v>
      </c>
      <c r="G67" s="44">
        <f t="shared" si="16"/>
        <v>0</v>
      </c>
      <c r="H67" s="44">
        <f>G67*$H54+G67</f>
        <v>0</v>
      </c>
      <c r="I67" s="44">
        <f>H67*$I54+H67</f>
        <v>0</v>
      </c>
      <c r="J67" s="69">
        <f>I67*$J54+I67</f>
        <v>0</v>
      </c>
      <c r="K67" s="272">
        <f ca="1">+'Matriz de impacto'!J137</f>
        <v>0</v>
      </c>
      <c r="L67" s="271" t="s">
        <v>4</v>
      </c>
      <c r="M67" s="287">
        <f>+'Matriz de impacto'!F137</f>
        <v>0</v>
      </c>
      <c r="N67" s="284">
        <f>J67*M67</f>
        <v>0</v>
      </c>
      <c r="O67" s="67">
        <f t="shared" ca="1" si="14"/>
        <v>0</v>
      </c>
      <c r="P67" s="68">
        <f t="shared" ca="1" si="15"/>
        <v>0</v>
      </c>
      <c r="Q67" s="7"/>
      <c r="R67" s="20"/>
    </row>
    <row r="68" spans="1:19" ht="19.5" customHeight="1" x14ac:dyDescent="0.3">
      <c r="A68" s="3"/>
      <c r="B68" s="3"/>
      <c r="C68" s="219"/>
      <c r="D68" s="219"/>
      <c r="E68" s="113" t="s">
        <v>88</v>
      </c>
      <c r="F68" s="215" t="s">
        <v>87</v>
      </c>
      <c r="G68" s="221"/>
      <c r="H68" s="222"/>
      <c r="I68" s="16"/>
      <c r="J68" s="16"/>
      <c r="K68" s="16"/>
      <c r="L68" s="7"/>
      <c r="M68" s="276" t="s">
        <v>9</v>
      </c>
      <c r="N68" s="27">
        <f>SUM(N57:N67)</f>
        <v>0</v>
      </c>
      <c r="O68" s="24">
        <f ca="1">SUM(O57:O67)</f>
        <v>0</v>
      </c>
      <c r="P68" s="24">
        <f ca="1">SUM(P57:P67)</f>
        <v>0</v>
      </c>
      <c r="Q68" s="7"/>
      <c r="R68" s="20"/>
    </row>
    <row r="69" spans="1:19" ht="20.100000000000001" customHeight="1" x14ac:dyDescent="0.3">
      <c r="A69" s="3"/>
      <c r="B69" s="3"/>
      <c r="C69" s="219"/>
      <c r="D69" s="219"/>
      <c r="E69" s="113" t="s">
        <v>89</v>
      </c>
      <c r="F69" s="215" t="s">
        <v>88</v>
      </c>
      <c r="G69" s="221"/>
      <c r="H69" s="222"/>
      <c r="I69" s="16"/>
      <c r="J69" s="16"/>
      <c r="K69" s="16"/>
      <c r="L69" s="7"/>
      <c r="M69" s="25" t="s">
        <v>23</v>
      </c>
      <c r="N69" s="26">
        <f>N68*'Matriz de impacto'!L8</f>
        <v>0</v>
      </c>
      <c r="O69" s="26">
        <f ca="1">O68*'Matriz de impacto'!L8</f>
        <v>0</v>
      </c>
      <c r="P69" s="26">
        <f ca="1">P68*'Matriz de impacto'!L8</f>
        <v>0</v>
      </c>
      <c r="Q69" s="7"/>
      <c r="R69" s="20"/>
    </row>
    <row r="70" spans="1:19" ht="15" customHeight="1" x14ac:dyDescent="0.3">
      <c r="A70" s="3"/>
      <c r="B70" s="3"/>
      <c r="C70" s="219"/>
      <c r="D70" s="219"/>
      <c r="E70" s="220"/>
      <c r="F70" s="215" t="s">
        <v>115</v>
      </c>
      <c r="G70" s="221"/>
      <c r="H70" s="222"/>
      <c r="I70" s="16"/>
      <c r="J70" s="16"/>
      <c r="K70" s="16"/>
      <c r="L70" s="7"/>
      <c r="M70" s="16"/>
      <c r="N70" s="16"/>
      <c r="O70" s="16"/>
      <c r="P70" s="16"/>
      <c r="Q70" s="7"/>
      <c r="R70" s="20"/>
    </row>
    <row r="71" spans="1:19" ht="21" customHeight="1" x14ac:dyDescent="0.3">
      <c r="A71" s="5"/>
      <c r="B71" s="5"/>
      <c r="C71" s="223"/>
      <c r="D71" s="223"/>
      <c r="E71" s="223"/>
      <c r="F71" s="227" t="s">
        <v>89</v>
      </c>
      <c r="G71" s="223"/>
      <c r="H71" s="224"/>
      <c r="I71" s="34" t="s">
        <v>137</v>
      </c>
      <c r="J71" s="5"/>
      <c r="K71" s="5"/>
      <c r="L71" s="5"/>
      <c r="M71" s="5"/>
      <c r="N71" s="5"/>
      <c r="O71" s="5"/>
      <c r="P71" s="5"/>
      <c r="Q71" s="5"/>
      <c r="R71" s="20"/>
    </row>
    <row r="72" spans="1:19" ht="8.25" hidden="1" customHeight="1" x14ac:dyDescent="0.3">
      <c r="A72" s="3"/>
      <c r="B72" s="3"/>
      <c r="C72" s="219"/>
      <c r="D72" s="219"/>
      <c r="E72" s="220"/>
      <c r="F72" s="221"/>
      <c r="G72" s="220"/>
      <c r="H72" s="225"/>
      <c r="I72" s="7"/>
      <c r="J72" s="7"/>
      <c r="K72" s="7"/>
      <c r="L72" s="7"/>
      <c r="M72" s="7"/>
      <c r="N72" s="7"/>
      <c r="O72" s="7"/>
      <c r="P72" s="7"/>
      <c r="Q72" s="7"/>
      <c r="R72" s="20"/>
    </row>
    <row r="73" spans="1:19" ht="26.25" hidden="1" customHeight="1" x14ac:dyDescent="0.3">
      <c r="A73" s="3"/>
      <c r="B73" s="3"/>
      <c r="C73" s="219"/>
      <c r="D73" s="219"/>
      <c r="E73" s="220"/>
      <c r="F73" s="221"/>
      <c r="G73" s="221"/>
      <c r="H73" s="226"/>
      <c r="I73" s="16"/>
      <c r="J73" s="16"/>
      <c r="K73" s="16"/>
      <c r="L73" s="7"/>
      <c r="M73" s="7"/>
      <c r="N73" s="411"/>
      <c r="O73" s="7"/>
      <c r="P73" s="7"/>
      <c r="Q73" s="7"/>
      <c r="R73" s="20"/>
    </row>
    <row r="74" spans="1:19" ht="18.75" hidden="1" customHeight="1" x14ac:dyDescent="0.3">
      <c r="A74" s="3"/>
      <c r="B74" s="3"/>
      <c r="C74" s="219"/>
      <c r="D74" s="219"/>
      <c r="E74" s="220"/>
      <c r="F74" s="220"/>
      <c r="G74" s="221"/>
      <c r="H74" s="221"/>
      <c r="I74" s="16"/>
      <c r="J74" s="16"/>
      <c r="K74" s="7"/>
      <c r="L74" s="7"/>
      <c r="M74" s="409" t="s">
        <v>21</v>
      </c>
      <c r="N74" s="411"/>
      <c r="O74" s="7"/>
      <c r="P74" s="7"/>
      <c r="Q74" s="7"/>
      <c r="R74" s="20"/>
    </row>
    <row r="75" spans="1:19" ht="8.25" hidden="1" customHeight="1" thickBot="1" x14ac:dyDescent="0.35">
      <c r="A75" s="3"/>
      <c r="B75" s="3"/>
      <c r="C75" s="3"/>
      <c r="D75" s="3"/>
      <c r="E75" s="7"/>
      <c r="F75" s="7"/>
      <c r="G75" s="16"/>
      <c r="H75" s="16"/>
      <c r="I75" s="16"/>
      <c r="J75" s="16"/>
      <c r="K75" s="7"/>
      <c r="L75" s="7"/>
      <c r="M75" s="410"/>
      <c r="N75" s="7"/>
      <c r="O75" s="7"/>
      <c r="P75" s="7"/>
      <c r="Q75" s="7"/>
      <c r="R75" s="20"/>
    </row>
    <row r="76" spans="1:19" ht="27" hidden="1" customHeight="1" thickBot="1" x14ac:dyDescent="0.35">
      <c r="A76" s="3"/>
      <c r="B76" s="3"/>
      <c r="C76" s="3"/>
      <c r="D76" s="3"/>
      <c r="E76" s="7"/>
      <c r="F76" s="22"/>
      <c r="G76" s="61" t="s">
        <v>5</v>
      </c>
      <c r="H76" s="61" t="s">
        <v>6</v>
      </c>
      <c r="I76" s="61" t="s">
        <v>7</v>
      </c>
      <c r="J76" s="61" t="s">
        <v>8</v>
      </c>
      <c r="K76" s="65" t="s">
        <v>39</v>
      </c>
      <c r="L76" s="7"/>
      <c r="M76" s="233">
        <f>M82+M81+M79+M78+M83+M8</f>
        <v>0</v>
      </c>
      <c r="N76" s="66" t="s">
        <v>121</v>
      </c>
      <c r="O76" s="66" t="s">
        <v>122</v>
      </c>
      <c r="P76" s="66" t="s">
        <v>20</v>
      </c>
      <c r="Q76" s="7"/>
      <c r="R76" s="20"/>
      <c r="S76" s="45"/>
    </row>
    <row r="77" spans="1:19" ht="20.100000000000001" hidden="1" customHeight="1" thickBot="1" x14ac:dyDescent="0.35">
      <c r="A77" s="3"/>
      <c r="B77" s="3"/>
      <c r="C77" s="3"/>
      <c r="D77" s="3"/>
      <c r="E77" s="7"/>
      <c r="F77" s="63" t="s">
        <v>41</v>
      </c>
      <c r="G77" s="44">
        <f t="shared" ref="G77:J80" si="17">G57</f>
        <v>0</v>
      </c>
      <c r="H77" s="44">
        <f>H57</f>
        <v>0</v>
      </c>
      <c r="I77" s="69">
        <f t="shared" si="17"/>
        <v>0</v>
      </c>
      <c r="J77" s="69">
        <f t="shared" si="17"/>
        <v>0</v>
      </c>
      <c r="K77" s="44">
        <f ca="1">+'Matriz de impacto'!J138+'Matriz de impacto'!J139</f>
        <v>0</v>
      </c>
      <c r="L77" s="63" t="s">
        <v>41</v>
      </c>
      <c r="M77" s="218"/>
      <c r="N77" s="68">
        <f>M77*I77</f>
        <v>0</v>
      </c>
      <c r="O77" s="68">
        <v>0</v>
      </c>
      <c r="P77" s="68">
        <f t="shared" ref="P77:P83" si="18">O77+N77</f>
        <v>0</v>
      </c>
      <c r="Q77" s="7"/>
      <c r="R77" s="20"/>
    </row>
    <row r="78" spans="1:19" ht="20.100000000000001" hidden="1" customHeight="1" thickBot="1" x14ac:dyDescent="0.35">
      <c r="A78" s="3"/>
      <c r="B78" s="3"/>
      <c r="C78" s="3"/>
      <c r="D78" s="3"/>
      <c r="E78" s="17"/>
      <c r="F78" s="63" t="s">
        <v>34</v>
      </c>
      <c r="G78" s="44">
        <f t="shared" si="17"/>
        <v>0</v>
      </c>
      <c r="H78" s="44">
        <f t="shared" si="17"/>
        <v>0</v>
      </c>
      <c r="I78" s="69">
        <f t="shared" si="17"/>
        <v>0</v>
      </c>
      <c r="J78" s="69">
        <f t="shared" si="17"/>
        <v>0</v>
      </c>
      <c r="K78" s="44">
        <f ca="1">+'Matriz de impacto'!J140+'Matriz de impacto'!J141</f>
        <v>0</v>
      </c>
      <c r="L78" s="133" t="s">
        <v>87</v>
      </c>
      <c r="M78" s="287">
        <f>+'Matriz de impacto'!F138</f>
        <v>0</v>
      </c>
      <c r="N78" s="68">
        <f>M78*I77</f>
        <v>0</v>
      </c>
      <c r="O78" s="68">
        <f ca="1">+'Matriz de impacto'!J138</f>
        <v>0</v>
      </c>
      <c r="P78" s="68">
        <f t="shared" ca="1" si="18"/>
        <v>0</v>
      </c>
      <c r="Q78" s="7"/>
      <c r="R78" s="20"/>
    </row>
    <row r="79" spans="1:19" ht="20.100000000000001" hidden="1" customHeight="1" thickBot="1" x14ac:dyDescent="0.35">
      <c r="A79" s="3"/>
      <c r="B79" s="3"/>
      <c r="C79" s="3"/>
      <c r="D79" s="3"/>
      <c r="E79" s="7"/>
      <c r="F79" s="63" t="s">
        <v>35</v>
      </c>
      <c r="G79" s="44">
        <f t="shared" si="17"/>
        <v>0</v>
      </c>
      <c r="H79" s="44">
        <f t="shared" si="17"/>
        <v>0</v>
      </c>
      <c r="I79" s="44">
        <f t="shared" si="17"/>
        <v>0</v>
      </c>
      <c r="J79" s="44">
        <f t="shared" si="17"/>
        <v>0</v>
      </c>
      <c r="K79" s="44"/>
      <c r="L79" s="133" t="s">
        <v>88</v>
      </c>
      <c r="M79" s="287">
        <f>+'Matriz de impacto'!F139</f>
        <v>0</v>
      </c>
      <c r="N79" s="68">
        <f>M79*J77</f>
        <v>0</v>
      </c>
      <c r="O79" s="68">
        <f ca="1">+'Matriz de impacto'!J139</f>
        <v>0</v>
      </c>
      <c r="P79" s="68">
        <f t="shared" ca="1" si="18"/>
        <v>0</v>
      </c>
      <c r="Q79" s="7"/>
      <c r="R79" s="20"/>
    </row>
    <row r="80" spans="1:19" ht="20.100000000000001" hidden="1" customHeight="1" thickBot="1" x14ac:dyDescent="0.35">
      <c r="A80" s="3"/>
      <c r="B80" s="3"/>
      <c r="C80" s="3"/>
      <c r="D80" s="3"/>
      <c r="E80" s="7"/>
      <c r="F80" s="64" t="s">
        <v>36</v>
      </c>
      <c r="G80" s="44">
        <f t="shared" si="17"/>
        <v>0</v>
      </c>
      <c r="H80" s="44">
        <f t="shared" si="17"/>
        <v>0</v>
      </c>
      <c r="I80" s="44">
        <f t="shared" si="17"/>
        <v>0</v>
      </c>
      <c r="J80" s="44">
        <f t="shared" si="17"/>
        <v>0</v>
      </c>
      <c r="K80" s="44"/>
      <c r="L80" s="63" t="s">
        <v>34</v>
      </c>
      <c r="M80" s="218"/>
      <c r="N80" s="68">
        <f>M80*H78</f>
        <v>0</v>
      </c>
      <c r="O80" s="68">
        <v>0</v>
      </c>
      <c r="P80" s="68">
        <f t="shared" si="18"/>
        <v>0</v>
      </c>
      <c r="Q80" s="7"/>
      <c r="R80" s="20"/>
    </row>
    <row r="81" spans="1:18" ht="20.100000000000001" hidden="1" customHeight="1" thickBot="1" x14ac:dyDescent="0.35">
      <c r="A81" s="3"/>
      <c r="B81" s="3"/>
      <c r="C81" s="3"/>
      <c r="D81" s="3"/>
      <c r="E81" s="7"/>
      <c r="F81" s="7"/>
      <c r="G81" s="60"/>
      <c r="H81" s="7"/>
      <c r="I81" s="60"/>
      <c r="J81" s="60"/>
      <c r="K81" s="44"/>
      <c r="L81" s="133" t="s">
        <v>115</v>
      </c>
      <c r="M81" s="287">
        <f>+'Matriz de impacto'!F140</f>
        <v>0</v>
      </c>
      <c r="N81" s="68">
        <f>M81*I78</f>
        <v>0</v>
      </c>
      <c r="O81" s="68">
        <f ca="1">+'Matriz de impacto'!J140</f>
        <v>0</v>
      </c>
      <c r="P81" s="68">
        <f t="shared" ca="1" si="18"/>
        <v>0</v>
      </c>
      <c r="Q81" s="7"/>
      <c r="R81" s="20"/>
    </row>
    <row r="82" spans="1:18" ht="20.100000000000001" hidden="1" customHeight="1" thickBot="1" x14ac:dyDescent="0.35">
      <c r="A82" s="3"/>
      <c r="B82" s="3"/>
      <c r="C82" s="3"/>
      <c r="D82" s="3"/>
      <c r="E82" s="7"/>
      <c r="F82" s="7"/>
      <c r="G82" s="7"/>
      <c r="H82" s="7"/>
      <c r="I82" s="7"/>
      <c r="J82" s="7"/>
      <c r="K82" s="44"/>
      <c r="L82" s="133" t="s">
        <v>89</v>
      </c>
      <c r="M82" s="287">
        <f>+'Matriz de impacto'!F141</f>
        <v>0</v>
      </c>
      <c r="N82" s="68">
        <f>M82*J78</f>
        <v>0</v>
      </c>
      <c r="O82" s="68">
        <f ca="1">+'Matriz de impacto'!J141</f>
        <v>0</v>
      </c>
      <c r="P82" s="68">
        <f t="shared" ca="1" si="18"/>
        <v>0</v>
      </c>
      <c r="Q82" s="7"/>
      <c r="R82" s="20"/>
    </row>
    <row r="83" spans="1:18" ht="20.100000000000001" hidden="1" customHeight="1" x14ac:dyDescent="0.3">
      <c r="A83" s="3"/>
      <c r="B83" s="3"/>
      <c r="C83" s="3"/>
      <c r="D83" s="3"/>
      <c r="E83" s="7"/>
      <c r="F83" s="7"/>
      <c r="G83" s="21"/>
      <c r="H83" s="7"/>
      <c r="I83" s="7"/>
      <c r="J83" s="7"/>
      <c r="K83" s="44"/>
      <c r="L83" s="63" t="s">
        <v>35</v>
      </c>
      <c r="M83" s="218"/>
      <c r="N83" s="68">
        <f>M83*J79</f>
        <v>0</v>
      </c>
      <c r="O83" s="68">
        <v>0</v>
      </c>
      <c r="P83" s="68">
        <f t="shared" si="18"/>
        <v>0</v>
      </c>
      <c r="Q83" s="7"/>
      <c r="R83" s="20"/>
    </row>
    <row r="84" spans="1:18" ht="20.100000000000001" hidden="1" customHeight="1" x14ac:dyDescent="0.3">
      <c r="A84" s="3"/>
      <c r="B84" s="3"/>
      <c r="C84" s="3"/>
      <c r="D84" s="3"/>
      <c r="E84" s="7"/>
      <c r="F84" s="7"/>
      <c r="G84" s="21"/>
      <c r="H84" s="7"/>
      <c r="I84" s="7"/>
      <c r="J84" s="7"/>
      <c r="K84" s="44"/>
      <c r="L84" s="64" t="s">
        <v>36</v>
      </c>
      <c r="M84" s="218"/>
      <c r="N84" s="68">
        <f>M84*H80</f>
        <v>0</v>
      </c>
      <c r="O84" s="68">
        <v>0</v>
      </c>
      <c r="P84" s="68">
        <f>O84+N84</f>
        <v>0</v>
      </c>
      <c r="Q84" s="7"/>
      <c r="R84" s="20"/>
    </row>
    <row r="85" spans="1:18" ht="20.100000000000001" hidden="1" customHeight="1" x14ac:dyDescent="0.3">
      <c r="A85" s="3"/>
      <c r="B85" s="3"/>
      <c r="C85" s="3"/>
      <c r="D85" s="3"/>
      <c r="E85" s="7"/>
      <c r="F85" s="7"/>
      <c r="G85" s="21"/>
      <c r="H85" s="7"/>
      <c r="I85" s="7"/>
      <c r="J85" s="7"/>
      <c r="K85" s="16"/>
      <c r="L85" s="7"/>
      <c r="M85" s="23" t="s">
        <v>9</v>
      </c>
      <c r="N85" s="27">
        <f>SUM(N77:N84)</f>
        <v>0</v>
      </c>
      <c r="O85" s="24">
        <f ca="1">SUM(O77:O84)</f>
        <v>0</v>
      </c>
      <c r="P85" s="24">
        <f ca="1">SUM(P77:P84)</f>
        <v>0</v>
      </c>
      <c r="Q85" s="7"/>
      <c r="R85" s="20"/>
    </row>
    <row r="86" spans="1:18" ht="20.100000000000001" hidden="1" customHeight="1" x14ac:dyDescent="0.3">
      <c r="A86" s="3"/>
      <c r="B86" s="3"/>
      <c r="C86" s="3"/>
      <c r="D86" s="3"/>
      <c r="E86" s="7"/>
      <c r="F86" s="7"/>
      <c r="G86" s="21"/>
      <c r="H86" s="7"/>
      <c r="I86" s="7"/>
      <c r="J86" s="7"/>
      <c r="K86" s="16"/>
      <c r="L86" s="7"/>
      <c r="M86" s="40" t="s">
        <v>23</v>
      </c>
      <c r="N86" s="41">
        <f>N85*'Matriz de impacto'!L8</f>
        <v>0</v>
      </c>
      <c r="O86" s="41">
        <f ca="1">O85*'Matriz de impacto'!L8</f>
        <v>0</v>
      </c>
      <c r="P86" s="41">
        <f ca="1">P85*'Matriz de impacto'!L8</f>
        <v>0</v>
      </c>
      <c r="Q86" s="7"/>
      <c r="R86" s="20"/>
    </row>
    <row r="87" spans="1:18" ht="20.100000000000001" hidden="1" customHeight="1" x14ac:dyDescent="0.3">
      <c r="A87" s="3"/>
      <c r="B87" s="3"/>
      <c r="C87" s="3"/>
      <c r="D87" s="3"/>
      <c r="E87" s="7"/>
      <c r="F87" s="7"/>
      <c r="G87" s="16"/>
      <c r="H87" s="16"/>
      <c r="I87" s="16"/>
      <c r="J87" s="16"/>
      <c r="K87" s="16"/>
      <c r="L87" s="7"/>
      <c r="M87" s="16"/>
      <c r="N87" s="16"/>
      <c r="O87" s="16"/>
      <c r="P87" s="16"/>
      <c r="Q87" s="7"/>
      <c r="R87" s="20"/>
    </row>
    <row r="88" spans="1:18" ht="17.25" hidden="1" customHeight="1" x14ac:dyDescent="0.3">
      <c r="A88" s="3"/>
      <c r="B88" s="3"/>
      <c r="C88" s="3"/>
      <c r="D88" s="3"/>
      <c r="E88" s="7"/>
      <c r="F88" s="7"/>
      <c r="G88" s="16"/>
      <c r="H88" s="16"/>
      <c r="I88" s="16"/>
      <c r="J88" s="16"/>
      <c r="K88" s="16"/>
      <c r="L88" s="7"/>
      <c r="M88" s="16"/>
      <c r="N88" s="16"/>
      <c r="O88" s="16"/>
      <c r="P88" s="16"/>
      <c r="Q88" s="7"/>
      <c r="R88" s="20"/>
    </row>
    <row r="89" spans="1:18" ht="20.100000000000001" hidden="1" customHeight="1" x14ac:dyDescent="0.3">
      <c r="A89" s="3"/>
      <c r="B89" s="3"/>
      <c r="C89" s="3"/>
      <c r="D89" s="3"/>
      <c r="E89" s="7"/>
      <c r="F89" s="7"/>
      <c r="G89" s="16"/>
      <c r="H89" s="16"/>
      <c r="I89" s="16"/>
      <c r="J89" s="16"/>
      <c r="K89" s="16"/>
      <c r="L89" s="7"/>
      <c r="M89" s="16"/>
      <c r="N89" s="16"/>
      <c r="O89" s="16"/>
      <c r="P89" s="16"/>
      <c r="Q89" s="7"/>
      <c r="R89" s="20"/>
    </row>
    <row r="90" spans="1:18" ht="21" hidden="1" customHeight="1" x14ac:dyDescent="0.3">
      <c r="A90" s="3"/>
      <c r="B90" s="3"/>
      <c r="C90" s="3"/>
      <c r="D90" s="3"/>
      <c r="E90" s="7"/>
      <c r="F90" s="72" t="s">
        <v>116</v>
      </c>
      <c r="G90" s="71"/>
      <c r="H90" s="71"/>
      <c r="I90" s="71"/>
      <c r="J90" s="71"/>
      <c r="K90" s="16"/>
      <c r="L90" s="18"/>
      <c r="M90" s="367" t="s">
        <v>57</v>
      </c>
      <c r="N90" s="369"/>
      <c r="O90" s="73" t="s">
        <v>27</v>
      </c>
      <c r="P90" s="73" t="s">
        <v>28</v>
      </c>
      <c r="Q90" s="7"/>
      <c r="R90" s="20"/>
    </row>
    <row r="91" spans="1:18" ht="26.25" hidden="1" customHeight="1" x14ac:dyDescent="0.3">
      <c r="A91" s="3"/>
      <c r="B91" s="3"/>
      <c r="C91" s="3"/>
      <c r="D91" s="3"/>
      <c r="E91" s="7"/>
      <c r="F91" s="79" t="s">
        <v>52</v>
      </c>
      <c r="G91" s="79" t="s">
        <v>83</v>
      </c>
      <c r="H91" s="79" t="s">
        <v>53</v>
      </c>
      <c r="I91" s="79" t="s">
        <v>54</v>
      </c>
      <c r="J91" s="79" t="s">
        <v>56</v>
      </c>
      <c r="K91" s="16"/>
      <c r="L91" s="18"/>
      <c r="M91" s="63" t="s">
        <v>4</v>
      </c>
      <c r="N91" s="75">
        <f>H92</f>
        <v>0</v>
      </c>
      <c r="O91" s="75">
        <f>J67-N91</f>
        <v>0</v>
      </c>
      <c r="P91" s="76" t="e">
        <f>O91/N91</f>
        <v>#DIV/0!</v>
      </c>
      <c r="Q91" s="7"/>
      <c r="R91" s="20"/>
    </row>
    <row r="92" spans="1:18" ht="17.25" hidden="1" customHeight="1" x14ac:dyDescent="0.3">
      <c r="A92" s="3"/>
      <c r="B92" s="3"/>
      <c r="C92" s="3"/>
      <c r="D92" s="3"/>
      <c r="E92" s="7"/>
      <c r="F92" s="242" t="s">
        <v>4</v>
      </c>
      <c r="G92" s="283"/>
      <c r="H92" s="277"/>
      <c r="I92" s="277"/>
      <c r="J92" s="234">
        <f ca="1">SUMIF('Matriz de impacto'!$G$12:$H$111,'Simulador Piramide-Salarios'!F92,'Matriz de impacto'!$H$12:$H$111)</f>
        <v>0</v>
      </c>
      <c r="K92" s="16"/>
      <c r="L92" s="18"/>
      <c r="M92" s="63" t="s">
        <v>130</v>
      </c>
      <c r="N92" s="75">
        <f t="shared" ref="N92:N105" si="19">H93</f>
        <v>0</v>
      </c>
      <c r="O92" s="75">
        <f>J66-N92</f>
        <v>0</v>
      </c>
      <c r="P92" s="76" t="e">
        <f t="shared" ref="P92:P105" si="20">O92/N92</f>
        <v>#DIV/0!</v>
      </c>
      <c r="Q92" s="7"/>
      <c r="R92" s="20"/>
    </row>
    <row r="93" spans="1:18" ht="17.25" hidden="1" customHeight="1" x14ac:dyDescent="0.3">
      <c r="A93" s="3"/>
      <c r="B93" s="3"/>
      <c r="C93" s="3"/>
      <c r="D93" s="3"/>
      <c r="E93" s="7"/>
      <c r="F93" s="242" t="s">
        <v>130</v>
      </c>
      <c r="G93" s="283"/>
      <c r="H93" s="277"/>
      <c r="I93" s="277"/>
      <c r="J93" s="234">
        <f ca="1">SUMIF('Matriz de impacto'!$G$12:$H$111,'Simulador Piramide-Salarios'!F93,'Matriz de impacto'!$H$12:$H$111)</f>
        <v>0</v>
      </c>
      <c r="K93" s="16"/>
      <c r="L93" s="18"/>
      <c r="M93" s="63" t="s">
        <v>129</v>
      </c>
      <c r="N93" s="75">
        <f t="shared" si="19"/>
        <v>0</v>
      </c>
      <c r="O93" s="75">
        <f>J65-N93</f>
        <v>0</v>
      </c>
      <c r="P93" s="76" t="e">
        <f t="shared" si="20"/>
        <v>#DIV/0!</v>
      </c>
      <c r="Q93" s="7"/>
      <c r="R93" s="20"/>
    </row>
    <row r="94" spans="1:18" ht="17.25" hidden="1" customHeight="1" x14ac:dyDescent="0.3">
      <c r="A94" s="3"/>
      <c r="B94" s="3"/>
      <c r="C94" s="3"/>
      <c r="D94" s="3"/>
      <c r="E94" s="7"/>
      <c r="F94" s="242" t="s">
        <v>129</v>
      </c>
      <c r="G94" s="283"/>
      <c r="H94" s="277"/>
      <c r="I94" s="277"/>
      <c r="J94" s="234">
        <f ca="1">SUMIF('Matriz de impacto'!$G$12:$H$111,'Simulador Piramide-Salarios'!F94,'Matriz de impacto'!$H$12:$H$111)</f>
        <v>0</v>
      </c>
      <c r="K94" s="16"/>
      <c r="L94" s="18"/>
      <c r="M94" s="63" t="s">
        <v>3</v>
      </c>
      <c r="N94" s="75">
        <f t="shared" si="19"/>
        <v>0</v>
      </c>
      <c r="O94" s="75">
        <f>J64-N94</f>
        <v>0</v>
      </c>
      <c r="P94" s="76" t="e">
        <f t="shared" si="20"/>
        <v>#DIV/0!</v>
      </c>
      <c r="Q94" s="7"/>
      <c r="R94" s="20"/>
    </row>
    <row r="95" spans="1:18" ht="17.25" hidden="1" customHeight="1" x14ac:dyDescent="0.3">
      <c r="A95" s="3"/>
      <c r="B95" s="3"/>
      <c r="C95" s="3"/>
      <c r="D95" s="3"/>
      <c r="E95" s="7"/>
      <c r="F95" s="242" t="s">
        <v>3</v>
      </c>
      <c r="G95" s="283"/>
      <c r="H95" s="277"/>
      <c r="I95" s="277"/>
      <c r="J95" s="234">
        <f ca="1">SUMIF('Matriz de impacto'!$G$12:$H$111,'Simulador Piramide-Salarios'!F95,'Matriz de impacto'!$H$12:$H$111)</f>
        <v>0</v>
      </c>
      <c r="K95" s="7"/>
      <c r="L95" s="7"/>
      <c r="M95" s="63" t="s">
        <v>2</v>
      </c>
      <c r="N95" s="75">
        <f t="shared" si="19"/>
        <v>0</v>
      </c>
      <c r="O95" s="75">
        <f>J63-N95</f>
        <v>0</v>
      </c>
      <c r="P95" s="76" t="e">
        <f t="shared" si="20"/>
        <v>#DIV/0!</v>
      </c>
      <c r="Q95" s="7"/>
      <c r="R95" s="20"/>
    </row>
    <row r="96" spans="1:18" ht="17.25" hidden="1" customHeight="1" x14ac:dyDescent="0.3">
      <c r="A96" s="3"/>
      <c r="B96" s="3"/>
      <c r="C96" s="3"/>
      <c r="D96" s="3"/>
      <c r="E96" s="7"/>
      <c r="F96" s="242" t="s">
        <v>2</v>
      </c>
      <c r="G96" s="283"/>
      <c r="H96" s="277"/>
      <c r="I96" s="277"/>
      <c r="J96" s="234">
        <f ca="1">SUMIF('Matriz de impacto'!$G$12:$H$111,'Simulador Piramide-Salarios'!F96,'Matriz de impacto'!$H$12:$H$111)</f>
        <v>0</v>
      </c>
      <c r="K96" s="21"/>
      <c r="L96" s="7"/>
      <c r="M96" s="63" t="s">
        <v>1</v>
      </c>
      <c r="N96" s="75">
        <f t="shared" si="19"/>
        <v>0</v>
      </c>
      <c r="O96" s="75">
        <f>H62-N96</f>
        <v>0</v>
      </c>
      <c r="P96" s="76" t="e">
        <f t="shared" si="20"/>
        <v>#DIV/0!</v>
      </c>
      <c r="Q96" s="7"/>
      <c r="R96" s="20"/>
    </row>
    <row r="97" spans="1:25" ht="17.25" hidden="1" customHeight="1" x14ac:dyDescent="0.3">
      <c r="A97" s="3"/>
      <c r="B97" s="3"/>
      <c r="C97" s="3"/>
      <c r="D97" s="3"/>
      <c r="E97" s="7"/>
      <c r="F97" s="242" t="s">
        <v>1</v>
      </c>
      <c r="G97" s="283"/>
      <c r="H97" s="277"/>
      <c r="I97" s="277"/>
      <c r="J97" s="234">
        <f ca="1">SUMIF('Matriz de impacto'!$G$12:$H$111,'Simulador Piramide-Salarios'!F97,'Matriz de impacto'!$H$12:$H$111)</f>
        <v>0</v>
      </c>
      <c r="K97" s="21"/>
      <c r="L97" s="7"/>
      <c r="M97" s="63" t="s">
        <v>0</v>
      </c>
      <c r="N97" s="75">
        <f t="shared" si="19"/>
        <v>0</v>
      </c>
      <c r="O97" s="75">
        <f>H61-N97</f>
        <v>0</v>
      </c>
      <c r="P97" s="76" t="e">
        <f t="shared" si="20"/>
        <v>#DIV/0!</v>
      </c>
      <c r="Q97" s="7"/>
      <c r="R97" s="20"/>
    </row>
    <row r="98" spans="1:25" ht="17.25" hidden="1" customHeight="1" x14ac:dyDescent="0.3">
      <c r="A98" s="3"/>
      <c r="B98" s="3"/>
      <c r="C98" s="3"/>
      <c r="D98" s="3"/>
      <c r="E98" s="7"/>
      <c r="F98" s="242" t="s">
        <v>0</v>
      </c>
      <c r="G98" s="283"/>
      <c r="H98" s="277"/>
      <c r="I98" s="277"/>
      <c r="J98" s="234">
        <f ca="1">SUMIF('Matriz de impacto'!$G$12:$H$111,'Simulador Piramide-Salarios'!F98,'Matriz de impacto'!$H$12:$H$111)</f>
        <v>0</v>
      </c>
      <c r="K98" s="21"/>
      <c r="L98" s="7"/>
      <c r="M98" s="63" t="s">
        <v>36</v>
      </c>
      <c r="N98" s="75">
        <f t="shared" si="19"/>
        <v>0</v>
      </c>
      <c r="O98" s="75">
        <f>H60-N98</f>
        <v>0</v>
      </c>
      <c r="P98" s="76" t="e">
        <f t="shared" si="20"/>
        <v>#DIV/0!</v>
      </c>
      <c r="Q98" s="7"/>
      <c r="R98" s="20"/>
    </row>
    <row r="99" spans="1:25" ht="17.25" hidden="1" customHeight="1" x14ac:dyDescent="0.3">
      <c r="A99" s="3"/>
      <c r="B99" s="3"/>
      <c r="C99" s="3"/>
      <c r="D99" s="3"/>
      <c r="E99" s="7"/>
      <c r="F99" s="242" t="s">
        <v>36</v>
      </c>
      <c r="G99" s="283"/>
      <c r="H99" s="277"/>
      <c r="I99" s="277"/>
      <c r="J99" s="234">
        <f ca="1">SUMIF('Matriz de impacto'!$G$12:$H$111,'Simulador Piramide-Salarios'!F99,'Matriz de impacto'!$H$12:$H$111)</f>
        <v>0</v>
      </c>
      <c r="K99" s="21"/>
      <c r="L99" s="7"/>
      <c r="M99" s="63" t="s">
        <v>35</v>
      </c>
      <c r="N99" s="75">
        <f t="shared" si="19"/>
        <v>0</v>
      </c>
      <c r="O99" s="75">
        <f>H59-N99</f>
        <v>0</v>
      </c>
      <c r="P99" s="76" t="e">
        <f t="shared" si="20"/>
        <v>#DIV/0!</v>
      </c>
      <c r="Q99" s="7"/>
      <c r="R99" s="20"/>
    </row>
    <row r="100" spans="1:25" ht="17.25" hidden="1" customHeight="1" x14ac:dyDescent="0.3">
      <c r="A100" s="3"/>
      <c r="B100" s="3"/>
      <c r="C100" s="3"/>
      <c r="D100" s="3"/>
      <c r="E100" s="7"/>
      <c r="F100" s="242" t="s">
        <v>35</v>
      </c>
      <c r="G100" s="283"/>
      <c r="H100" s="277"/>
      <c r="I100" s="277"/>
      <c r="J100" s="234">
        <f ca="1">SUMIF('Matriz de impacto'!$G$12:$H$111,'Simulador Piramide-Salarios'!F100,'Matriz de impacto'!$H$12:$H$111)</f>
        <v>0</v>
      </c>
      <c r="K100" s="21"/>
      <c r="L100" s="7"/>
      <c r="M100" s="63" t="s">
        <v>34</v>
      </c>
      <c r="N100" s="75">
        <f t="shared" si="19"/>
        <v>0</v>
      </c>
      <c r="O100" s="75">
        <f>H58-N100</f>
        <v>0</v>
      </c>
      <c r="P100" s="76" t="e">
        <f t="shared" si="20"/>
        <v>#DIV/0!</v>
      </c>
      <c r="Q100" s="7"/>
      <c r="R100" s="20"/>
    </row>
    <row r="101" spans="1:25" ht="17.25" hidden="1" customHeight="1" x14ac:dyDescent="0.3">
      <c r="A101" s="3"/>
      <c r="B101" s="3"/>
      <c r="C101" s="3"/>
      <c r="D101" s="3"/>
      <c r="E101" s="7"/>
      <c r="F101" s="242" t="s">
        <v>34</v>
      </c>
      <c r="G101" s="283"/>
      <c r="H101" s="277"/>
      <c r="I101" s="277"/>
      <c r="J101" s="234">
        <f ca="1">SUMIF('Matriz de impacto'!$G$12:$H$111,'Simulador Piramide-Salarios'!F101,'Matriz de impacto'!$H$12:$H$111)</f>
        <v>0</v>
      </c>
      <c r="K101" s="21"/>
      <c r="L101" s="7"/>
      <c r="M101" s="63" t="s">
        <v>41</v>
      </c>
      <c r="N101" s="75">
        <f t="shared" si="19"/>
        <v>0</v>
      </c>
      <c r="O101" s="75">
        <f>H57-N101</f>
        <v>0</v>
      </c>
      <c r="P101" s="76" t="e">
        <f t="shared" si="20"/>
        <v>#DIV/0!</v>
      </c>
      <c r="Q101" s="7"/>
      <c r="R101" s="20"/>
    </row>
    <row r="102" spans="1:25" ht="17.25" hidden="1" customHeight="1" x14ac:dyDescent="0.3">
      <c r="A102" s="3"/>
      <c r="B102" s="3"/>
      <c r="C102" s="3"/>
      <c r="D102" s="3"/>
      <c r="E102" s="7"/>
      <c r="F102" s="242" t="s">
        <v>41</v>
      </c>
      <c r="G102" s="283"/>
      <c r="H102" s="277"/>
      <c r="I102" s="277"/>
      <c r="J102" s="234">
        <f ca="1">SUMIF('Matriz de impacto'!$G$12:$H$111,'Simulador Piramide-Salarios'!F102,'Matriz de impacto'!$H$12:$H$111)</f>
        <v>0</v>
      </c>
      <c r="K102" s="21"/>
      <c r="L102" s="7"/>
      <c r="M102" s="63" t="s">
        <v>89</v>
      </c>
      <c r="N102" s="75">
        <f t="shared" si="19"/>
        <v>0</v>
      </c>
      <c r="O102" s="75">
        <f>J78-N102</f>
        <v>0</v>
      </c>
      <c r="P102" s="76" t="e">
        <f t="shared" si="20"/>
        <v>#DIV/0!</v>
      </c>
      <c r="Q102" s="7"/>
      <c r="R102" s="20"/>
    </row>
    <row r="103" spans="1:25" ht="17.25" hidden="1" customHeight="1" x14ac:dyDescent="0.3">
      <c r="A103" s="3"/>
      <c r="B103" s="3"/>
      <c r="C103" s="3"/>
      <c r="D103" s="3"/>
      <c r="E103" s="7"/>
      <c r="F103" s="242" t="s">
        <v>89</v>
      </c>
      <c r="G103" s="283"/>
      <c r="H103" s="277"/>
      <c r="I103" s="277"/>
      <c r="J103" s="234">
        <f ca="1">SUMIF('Matriz de impacto'!$G$12:$H$111,'Simulador Piramide-Salarios'!F103,'Matriz de impacto'!$H$12:$H$111)</f>
        <v>0</v>
      </c>
      <c r="K103" s="21"/>
      <c r="L103" s="7"/>
      <c r="M103" s="63" t="s">
        <v>115</v>
      </c>
      <c r="N103" s="75">
        <f t="shared" si="19"/>
        <v>0</v>
      </c>
      <c r="O103" s="75">
        <f>I78-N103</f>
        <v>0</v>
      </c>
      <c r="P103" s="76" t="e">
        <f t="shared" si="20"/>
        <v>#DIV/0!</v>
      </c>
      <c r="Q103" s="7"/>
      <c r="R103" s="20"/>
    </row>
    <row r="104" spans="1:25" ht="17.25" hidden="1" customHeight="1" x14ac:dyDescent="0.3">
      <c r="A104" s="3"/>
      <c r="B104" s="3"/>
      <c r="C104" s="3"/>
      <c r="D104" s="3"/>
      <c r="E104" s="7"/>
      <c r="F104" s="242" t="s">
        <v>115</v>
      </c>
      <c r="G104" s="283"/>
      <c r="H104" s="277"/>
      <c r="I104" s="277"/>
      <c r="J104" s="234">
        <f ca="1">SUMIF('Matriz de impacto'!$G$12:$H$111,'Simulador Piramide-Salarios'!F104,'Matriz de impacto'!$H$12:$H$111)</f>
        <v>0</v>
      </c>
      <c r="K104" s="21"/>
      <c r="L104" s="7"/>
      <c r="M104" s="63" t="s">
        <v>88</v>
      </c>
      <c r="N104" s="75">
        <f t="shared" si="19"/>
        <v>0</v>
      </c>
      <c r="O104" s="75">
        <f>J77-N104</f>
        <v>0</v>
      </c>
      <c r="P104" s="76" t="e">
        <f t="shared" si="20"/>
        <v>#DIV/0!</v>
      </c>
      <c r="Q104" s="7"/>
      <c r="R104" s="20"/>
    </row>
    <row r="105" spans="1:25" ht="17.25" hidden="1" customHeight="1" x14ac:dyDescent="0.3">
      <c r="A105" s="3"/>
      <c r="B105" s="3"/>
      <c r="C105" s="3"/>
      <c r="D105" s="3"/>
      <c r="E105" s="7"/>
      <c r="F105" s="242" t="s">
        <v>88</v>
      </c>
      <c r="G105" s="283"/>
      <c r="H105" s="277"/>
      <c r="I105" s="277"/>
      <c r="J105" s="234">
        <f ca="1">SUMIF('Matriz de impacto'!$G$12:$H$111,'Simulador Piramide-Salarios'!F105,'Matriz de impacto'!$H$12:$H$111)</f>
        <v>0</v>
      </c>
      <c r="K105" s="21"/>
      <c r="L105" s="7"/>
      <c r="M105" s="63" t="s">
        <v>87</v>
      </c>
      <c r="N105" s="75">
        <f t="shared" si="19"/>
        <v>0</v>
      </c>
      <c r="O105" s="75">
        <f>I77-N105</f>
        <v>0</v>
      </c>
      <c r="P105" s="76" t="e">
        <f t="shared" si="20"/>
        <v>#DIV/0!</v>
      </c>
      <c r="Q105" s="7"/>
      <c r="R105" s="20"/>
    </row>
    <row r="106" spans="1:25" ht="17.25" hidden="1" customHeight="1" x14ac:dyDescent="0.3">
      <c r="A106" s="3"/>
      <c r="B106" s="3"/>
      <c r="C106" s="3"/>
      <c r="D106" s="3"/>
      <c r="E106" s="7"/>
      <c r="F106" s="242" t="s">
        <v>87</v>
      </c>
      <c r="G106" s="283"/>
      <c r="H106" s="277"/>
      <c r="I106" s="277"/>
      <c r="J106" s="234">
        <f ca="1">SUMIF('Matriz de impacto'!$G$12:$H$111,'Simulador Piramide-Salarios'!F106,'Matriz de impacto'!$H$12:$H$111)</f>
        <v>0</v>
      </c>
      <c r="K106" s="21"/>
      <c r="L106" s="7"/>
      <c r="M106" s="74"/>
      <c r="N106" s="77"/>
      <c r="O106" s="75"/>
      <c r="P106" s="76"/>
      <c r="Q106" s="7"/>
      <c r="R106" s="20"/>
    </row>
    <row r="107" spans="1:25" ht="17.25" hidden="1" customHeight="1" x14ac:dyDescent="0.3">
      <c r="A107" s="3"/>
      <c r="B107" s="3"/>
      <c r="C107" s="3"/>
      <c r="D107" s="3"/>
      <c r="E107" s="7"/>
      <c r="F107" s="242"/>
      <c r="G107" s="283"/>
      <c r="H107" s="277"/>
      <c r="I107" s="277"/>
      <c r="J107" s="234"/>
      <c r="K107" s="7"/>
      <c r="L107" s="7"/>
      <c r="M107" s="74"/>
      <c r="N107" s="77"/>
      <c r="O107" s="75" t="s">
        <v>91</v>
      </c>
      <c r="P107" s="78" t="e">
        <f>AVERAGE(P91:P106)</f>
        <v>#DIV/0!</v>
      </c>
      <c r="Q107" s="7"/>
      <c r="R107" s="20"/>
    </row>
    <row r="108" spans="1:25" ht="17.25" hidden="1" customHeight="1" x14ac:dyDescent="0.3">
      <c r="A108" s="3"/>
      <c r="B108" s="3"/>
      <c r="C108" s="3"/>
      <c r="D108" s="3"/>
      <c r="E108" s="7"/>
      <c r="F108" s="80"/>
      <c r="G108" s="81">
        <f>SUM(G92:G107)</f>
        <v>0</v>
      </c>
      <c r="H108" s="80" t="s">
        <v>55</v>
      </c>
      <c r="I108" s="82" t="s">
        <v>9</v>
      </c>
      <c r="J108" s="217">
        <f>+'Matriz de impacto'!H113</f>
        <v>0</v>
      </c>
      <c r="K108" s="7"/>
      <c r="L108" s="7"/>
      <c r="M108" s="7"/>
      <c r="N108" s="7"/>
      <c r="O108" s="7"/>
      <c r="P108" s="7"/>
      <c r="Q108" s="7"/>
      <c r="R108" s="20"/>
    </row>
    <row r="109" spans="1:25" ht="24.75" hidden="1" customHeight="1" x14ac:dyDescent="0.3">
      <c r="A109" s="3"/>
      <c r="B109" s="3"/>
      <c r="C109" s="3"/>
      <c r="D109" s="3"/>
      <c r="E109" s="7"/>
      <c r="F109" s="162"/>
      <c r="G109" s="162"/>
      <c r="H109" s="162"/>
      <c r="I109" s="163" t="str">
        <f>W109&amp;'Matriz de impacto'!K8&amp;'Simulador Piramide-Salarios'!X109</f>
        <v>Total anual C/0 días de Aguinaldo</v>
      </c>
      <c r="J109" s="83">
        <f>J108*'Matriz de impacto'!L8</f>
        <v>0</v>
      </c>
      <c r="K109" s="7"/>
      <c r="L109" s="7"/>
      <c r="M109" s="367" t="s">
        <v>45</v>
      </c>
      <c r="N109" s="368"/>
      <c r="O109" s="369"/>
      <c r="P109" s="7"/>
      <c r="Q109" s="7"/>
      <c r="R109" s="20"/>
      <c r="W109" s="229" t="s">
        <v>164</v>
      </c>
      <c r="X109" s="229" t="s">
        <v>165</v>
      </c>
    </row>
    <row r="110" spans="1:25" s="170" customFormat="1" ht="25.5" hidden="1" customHeight="1" x14ac:dyDescent="0.3">
      <c r="A110" s="164"/>
      <c r="B110" s="164"/>
      <c r="C110" s="164"/>
      <c r="D110" s="164"/>
      <c r="E110" s="165"/>
      <c r="F110" s="165"/>
      <c r="G110" s="165"/>
      <c r="H110" s="165"/>
      <c r="I110" s="165"/>
      <c r="J110" s="165"/>
      <c r="K110" s="165"/>
      <c r="L110" s="165"/>
      <c r="M110" s="166" t="s">
        <v>42</v>
      </c>
      <c r="N110" s="167"/>
      <c r="O110" s="168">
        <f ca="1">P68+P85</f>
        <v>0</v>
      </c>
      <c r="P110" s="165"/>
      <c r="Q110" s="165"/>
      <c r="R110" s="169"/>
      <c r="W110" s="1"/>
      <c r="X110" s="1"/>
      <c r="Y110" s="1"/>
    </row>
    <row r="111" spans="1:25" s="170" customFormat="1" ht="25.5" hidden="1" customHeight="1" x14ac:dyDescent="0.3">
      <c r="A111" s="164"/>
      <c r="B111" s="164"/>
      <c r="C111" s="164"/>
      <c r="D111" s="164"/>
      <c r="E111" s="165"/>
      <c r="F111" s="165"/>
      <c r="G111" s="165"/>
      <c r="H111" s="165"/>
      <c r="I111" s="165"/>
      <c r="J111" s="165"/>
      <c r="K111" s="165"/>
      <c r="L111" s="165"/>
      <c r="M111" s="166" t="s">
        <v>43</v>
      </c>
      <c r="N111" s="167"/>
      <c r="O111" s="168">
        <f ca="1">P69+P86</f>
        <v>0</v>
      </c>
      <c r="P111" s="165"/>
      <c r="Q111" s="165"/>
      <c r="R111" s="169"/>
      <c r="W111" s="1"/>
      <c r="X111" s="1"/>
      <c r="Y111" s="1"/>
    </row>
    <row r="112" spans="1:25" ht="20.25" customHeight="1" x14ac:dyDescent="0.3">
      <c r="A112" s="3"/>
      <c r="B112" s="3"/>
      <c r="C112" s="3"/>
      <c r="D112" s="3"/>
      <c r="E112" s="7"/>
      <c r="F112" s="407" t="s">
        <v>44</v>
      </c>
      <c r="G112" s="407"/>
      <c r="H112" s="407"/>
      <c r="I112" s="408"/>
      <c r="J112" s="7"/>
      <c r="K112" s="7"/>
      <c r="L112" s="7"/>
      <c r="M112" s="7"/>
      <c r="N112" s="7"/>
      <c r="O112" s="7"/>
      <c r="P112" s="7"/>
      <c r="Q112" s="7"/>
      <c r="R112" s="20"/>
    </row>
    <row r="113" spans="1:18" ht="20.25" customHeight="1" x14ac:dyDescent="0.3">
      <c r="A113" s="3"/>
      <c r="B113" s="3"/>
      <c r="C113" s="3"/>
      <c r="D113" s="3"/>
      <c r="E113" s="7"/>
      <c r="F113" s="399" t="s">
        <v>80</v>
      </c>
      <c r="G113" s="400"/>
      <c r="H113" s="401"/>
      <c r="I113" s="85">
        <f>J109</f>
        <v>0</v>
      </c>
      <c r="J113" s="7"/>
      <c r="K113" s="7"/>
      <c r="L113" s="366" t="s">
        <v>47</v>
      </c>
      <c r="M113" s="366"/>
      <c r="N113" s="7"/>
      <c r="O113" s="366" t="s">
        <v>46</v>
      </c>
      <c r="P113" s="366"/>
      <c r="Q113" s="7"/>
      <c r="R113" s="20"/>
    </row>
    <row r="114" spans="1:18" ht="20.25" customHeight="1" x14ac:dyDescent="0.3">
      <c r="A114" s="3"/>
      <c r="B114" s="3"/>
      <c r="C114" s="3"/>
      <c r="D114" s="3"/>
      <c r="E114" s="7"/>
      <c r="F114" s="402" t="s">
        <v>195</v>
      </c>
      <c r="G114" s="403"/>
      <c r="H114" s="403"/>
      <c r="I114" s="278">
        <v>0</v>
      </c>
      <c r="J114" s="161"/>
      <c r="K114" s="7"/>
      <c r="L114" s="28"/>
      <c r="M114" s="29"/>
      <c r="N114" s="7"/>
      <c r="O114" s="28"/>
      <c r="P114" s="29"/>
      <c r="Q114" s="7"/>
      <c r="R114" s="20"/>
    </row>
    <row r="115" spans="1:18" ht="30.75" hidden="1" customHeight="1" x14ac:dyDescent="0.3">
      <c r="A115" s="3"/>
      <c r="B115" s="3"/>
      <c r="C115" s="3"/>
      <c r="D115" s="3"/>
      <c r="E115" s="7"/>
      <c r="F115" s="358" t="s">
        <v>174</v>
      </c>
      <c r="G115" s="359"/>
      <c r="H115" s="359"/>
      <c r="I115" s="84">
        <f ca="1">P86</f>
        <v>0</v>
      </c>
      <c r="J115" s="7"/>
      <c r="K115" s="7"/>
      <c r="L115" s="30"/>
      <c r="M115" s="31"/>
      <c r="N115" s="7"/>
      <c r="O115" s="30"/>
      <c r="P115" s="31"/>
      <c r="Q115" s="7"/>
      <c r="R115" s="20"/>
    </row>
    <row r="116" spans="1:18" ht="27.75" customHeight="1" x14ac:dyDescent="0.3">
      <c r="A116" s="3"/>
      <c r="B116" s="3"/>
      <c r="C116" s="3"/>
      <c r="D116" s="3"/>
      <c r="E116" s="7"/>
      <c r="F116" s="358" t="s">
        <v>173</v>
      </c>
      <c r="G116" s="359"/>
      <c r="H116" s="359"/>
      <c r="I116" s="84">
        <f ca="1">P69</f>
        <v>0</v>
      </c>
      <c r="J116" s="7"/>
      <c r="K116" s="7"/>
      <c r="L116" s="32"/>
      <c r="M116" s="33"/>
      <c r="N116" s="7"/>
      <c r="O116" s="32"/>
      <c r="P116" s="33"/>
      <c r="Q116" s="7"/>
      <c r="R116" s="20"/>
    </row>
    <row r="117" spans="1:18" ht="30" customHeight="1" x14ac:dyDescent="0.3">
      <c r="A117" s="3"/>
      <c r="B117" s="3"/>
      <c r="C117" s="3"/>
      <c r="D117" s="3"/>
      <c r="E117" s="7"/>
      <c r="F117" s="360" t="s">
        <v>81</v>
      </c>
      <c r="G117" s="361"/>
      <c r="H117" s="361"/>
      <c r="I117" s="86">
        <f ca="1">SUM(I115:I116)</f>
        <v>0</v>
      </c>
      <c r="J117" s="7"/>
      <c r="K117" s="7"/>
      <c r="L117" s="365"/>
      <c r="M117" s="365"/>
      <c r="N117" s="7"/>
      <c r="O117" s="365"/>
      <c r="P117" s="365"/>
      <c r="Q117" s="19"/>
      <c r="R117" s="20"/>
    </row>
    <row r="118" spans="1:18" ht="20.25" customHeight="1" x14ac:dyDescent="0.3">
      <c r="A118" s="3"/>
      <c r="B118" s="3"/>
      <c r="C118" s="3"/>
      <c r="D118" s="3"/>
      <c r="E118" s="7"/>
      <c r="F118" s="354" t="s">
        <v>196</v>
      </c>
      <c r="G118" s="355"/>
      <c r="H118" s="355"/>
      <c r="I118" s="87">
        <f ca="1">(I113+I114)-I117</f>
        <v>0</v>
      </c>
      <c r="J118" s="21">
        <f ca="1">I118-'Matriz de impacto'!Q115</f>
        <v>0</v>
      </c>
      <c r="K118" s="7"/>
      <c r="L118" s="362" t="s">
        <v>118</v>
      </c>
      <c r="M118" s="363"/>
      <c r="N118" s="7"/>
      <c r="O118" s="362" t="s">
        <v>117</v>
      </c>
      <c r="P118" s="363"/>
      <c r="Q118" s="7"/>
      <c r="R118" s="20"/>
    </row>
    <row r="119" spans="1:18" ht="11.25" customHeight="1" thickBot="1" x14ac:dyDescent="0.35">
      <c r="A119" s="3"/>
      <c r="B119" s="3"/>
      <c r="C119" s="3"/>
      <c r="D119" s="3"/>
      <c r="E119" s="7"/>
      <c r="F119" s="7"/>
      <c r="G119" s="7"/>
      <c r="H119" s="7"/>
      <c r="I119" s="7"/>
      <c r="J119" s="7"/>
      <c r="K119" s="7"/>
      <c r="L119" s="364"/>
      <c r="M119" s="364"/>
      <c r="N119" s="7"/>
      <c r="O119" s="364"/>
      <c r="P119" s="364"/>
      <c r="Q119" s="7"/>
      <c r="R119" s="20"/>
    </row>
    <row r="120" spans="1:18" ht="29.25" hidden="1" customHeight="1" thickTop="1" thickBot="1" x14ac:dyDescent="0.35">
      <c r="A120" s="3"/>
      <c r="B120" s="3"/>
      <c r="C120" s="3"/>
      <c r="D120" s="3"/>
      <c r="E120" s="35"/>
      <c r="F120" s="36">
        <v>1</v>
      </c>
      <c r="G120" s="142" t="s">
        <v>61</v>
      </c>
      <c r="H120" s="143"/>
      <c r="I120" s="143"/>
      <c r="J120" s="143"/>
      <c r="K120" s="143"/>
      <c r="L120" s="143"/>
      <c r="M120" s="143"/>
      <c r="N120" s="143"/>
      <c r="O120" s="143"/>
      <c r="P120" s="143"/>
      <c r="Q120" s="37"/>
      <c r="R120" s="20"/>
    </row>
    <row r="121" spans="1:18" ht="29.25" hidden="1" customHeight="1" thickTop="1" thickBot="1" x14ac:dyDescent="0.35">
      <c r="A121" s="3"/>
      <c r="B121" s="3"/>
      <c r="C121" s="3"/>
      <c r="D121" s="3"/>
      <c r="E121" s="35"/>
      <c r="F121" s="36">
        <v>2</v>
      </c>
      <c r="G121" s="137" t="s">
        <v>62</v>
      </c>
      <c r="H121" s="138"/>
      <c r="I121" s="138"/>
      <c r="J121" s="138"/>
      <c r="K121" s="138"/>
      <c r="L121" s="138"/>
      <c r="M121" s="138"/>
      <c r="N121" s="138"/>
      <c r="O121" s="138"/>
      <c r="P121" s="138"/>
      <c r="Q121" s="38"/>
      <c r="R121" s="20"/>
    </row>
    <row r="122" spans="1:18" ht="29.25" hidden="1" customHeight="1" thickTop="1" thickBot="1" x14ac:dyDescent="0.35">
      <c r="A122" s="3"/>
      <c r="B122" s="3"/>
      <c r="C122" s="3"/>
      <c r="D122" s="3"/>
      <c r="E122" s="35"/>
      <c r="F122" s="36">
        <v>3</v>
      </c>
      <c r="G122" s="137" t="s">
        <v>63</v>
      </c>
      <c r="H122" s="138"/>
      <c r="I122" s="138"/>
      <c r="J122" s="138"/>
      <c r="K122" s="138"/>
      <c r="L122" s="138"/>
      <c r="M122" s="138"/>
      <c r="N122" s="138"/>
      <c r="O122" s="138"/>
      <c r="P122" s="138"/>
      <c r="Q122" s="38"/>
      <c r="R122" s="20"/>
    </row>
    <row r="123" spans="1:18" ht="29.25" hidden="1" customHeight="1" thickTop="1" thickBot="1" x14ac:dyDescent="0.35">
      <c r="A123" s="3"/>
      <c r="B123" s="3"/>
      <c r="C123" s="3"/>
      <c r="D123" s="3"/>
      <c r="E123" s="35"/>
      <c r="F123" s="36">
        <v>4</v>
      </c>
      <c r="G123" s="137" t="s">
        <v>64</v>
      </c>
      <c r="H123" s="138"/>
      <c r="I123" s="138"/>
      <c r="J123" s="138"/>
      <c r="K123" s="138"/>
      <c r="L123" s="138"/>
      <c r="M123" s="138"/>
      <c r="N123" s="138"/>
      <c r="O123" s="138"/>
      <c r="P123" s="138"/>
      <c r="Q123" s="38"/>
      <c r="R123" s="20"/>
    </row>
    <row r="124" spans="1:18" ht="29.25" hidden="1" customHeight="1" thickTop="1" thickBot="1" x14ac:dyDescent="0.35">
      <c r="A124" s="3"/>
      <c r="B124" s="3"/>
      <c r="C124" s="3"/>
      <c r="D124" s="3"/>
      <c r="E124" s="35"/>
      <c r="F124" s="36">
        <v>5</v>
      </c>
      <c r="G124" s="137" t="s">
        <v>65</v>
      </c>
      <c r="H124" s="138"/>
      <c r="I124" s="138"/>
      <c r="J124" s="138"/>
      <c r="K124" s="138"/>
      <c r="L124" s="138"/>
      <c r="M124" s="138"/>
      <c r="N124" s="138"/>
      <c r="O124" s="138"/>
      <c r="P124" s="138"/>
      <c r="Q124" s="38"/>
      <c r="R124" s="20"/>
    </row>
    <row r="125" spans="1:18" ht="29.25" hidden="1" customHeight="1" thickTop="1" thickBot="1" x14ac:dyDescent="0.35">
      <c r="A125" s="3"/>
      <c r="B125" s="3"/>
      <c r="C125" s="3"/>
      <c r="D125" s="3"/>
      <c r="E125" s="35"/>
      <c r="F125" s="36">
        <v>6</v>
      </c>
      <c r="G125" s="137" t="s">
        <v>74</v>
      </c>
      <c r="H125" s="138"/>
      <c r="I125" s="138"/>
      <c r="J125" s="138"/>
      <c r="K125" s="138"/>
      <c r="L125" s="138"/>
      <c r="M125" s="138"/>
      <c r="N125" s="138"/>
      <c r="O125" s="138"/>
      <c r="P125" s="138"/>
      <c r="Q125" s="38"/>
      <c r="R125" s="20"/>
    </row>
    <row r="126" spans="1:18" ht="29.25" hidden="1" customHeight="1" thickTop="1" thickBot="1" x14ac:dyDescent="0.35">
      <c r="A126" s="3"/>
      <c r="B126" s="3"/>
      <c r="C126" s="3"/>
      <c r="D126" s="3"/>
      <c r="E126" s="35"/>
      <c r="F126" s="36">
        <v>7</v>
      </c>
      <c r="G126" s="137" t="s">
        <v>66</v>
      </c>
      <c r="H126" s="138"/>
      <c r="I126" s="138"/>
      <c r="J126" s="138"/>
      <c r="K126" s="138"/>
      <c r="L126" s="138"/>
      <c r="M126" s="138"/>
      <c r="N126" s="138"/>
      <c r="O126" s="138"/>
      <c r="P126" s="138"/>
      <c r="Q126" s="38"/>
      <c r="R126" s="20"/>
    </row>
    <row r="127" spans="1:18" ht="29.25" hidden="1" customHeight="1" thickTop="1" thickBot="1" x14ac:dyDescent="0.35">
      <c r="A127" s="3"/>
      <c r="B127" s="3"/>
      <c r="C127" s="3"/>
      <c r="D127" s="3"/>
      <c r="E127" s="35"/>
      <c r="F127" s="36">
        <v>8</v>
      </c>
      <c r="G127" s="137" t="s">
        <v>76</v>
      </c>
      <c r="H127" s="138"/>
      <c r="I127" s="138"/>
      <c r="J127" s="138"/>
      <c r="K127" s="138"/>
      <c r="L127" s="138"/>
      <c r="M127" s="138"/>
      <c r="N127" s="138"/>
      <c r="O127" s="138"/>
      <c r="P127" s="138"/>
      <c r="Q127" s="38"/>
      <c r="R127" s="20"/>
    </row>
    <row r="128" spans="1:18" ht="29.25" hidden="1" customHeight="1" thickTop="1" thickBot="1" x14ac:dyDescent="0.35">
      <c r="A128" s="3"/>
      <c r="B128" s="3"/>
      <c r="C128" s="3"/>
      <c r="D128" s="3"/>
      <c r="E128" s="35"/>
      <c r="F128" s="36">
        <v>9</v>
      </c>
      <c r="G128" s="137" t="s">
        <v>67</v>
      </c>
      <c r="H128" s="138"/>
      <c r="I128" s="138"/>
      <c r="J128" s="138"/>
      <c r="K128" s="138"/>
      <c r="L128" s="138"/>
      <c r="M128" s="138"/>
      <c r="N128" s="138"/>
      <c r="O128" s="138"/>
      <c r="P128" s="138"/>
      <c r="Q128" s="38"/>
      <c r="R128" s="20"/>
    </row>
    <row r="129" spans="1:18" ht="29.25" hidden="1" customHeight="1" thickTop="1" thickBot="1" x14ac:dyDescent="0.35">
      <c r="A129" s="3"/>
      <c r="B129" s="3"/>
      <c r="C129" s="3"/>
      <c r="D129" s="3"/>
      <c r="E129" s="35"/>
      <c r="F129" s="36">
        <v>10</v>
      </c>
      <c r="G129" s="137" t="s">
        <v>68</v>
      </c>
      <c r="H129" s="138"/>
      <c r="I129" s="138"/>
      <c r="J129" s="138"/>
      <c r="K129" s="138"/>
      <c r="L129" s="138"/>
      <c r="M129" s="138"/>
      <c r="N129" s="138"/>
      <c r="O129" s="138"/>
      <c r="P129" s="138"/>
      <c r="Q129" s="38"/>
      <c r="R129" s="20"/>
    </row>
    <row r="130" spans="1:18" ht="29.25" hidden="1" customHeight="1" thickTop="1" thickBot="1" x14ac:dyDescent="0.35">
      <c r="A130" s="3"/>
      <c r="B130" s="3"/>
      <c r="C130" s="3"/>
      <c r="D130" s="3"/>
      <c r="E130" s="35"/>
      <c r="F130" s="36">
        <v>11</v>
      </c>
      <c r="G130" s="137" t="s">
        <v>69</v>
      </c>
      <c r="H130" s="138"/>
      <c r="I130" s="138"/>
      <c r="J130" s="138"/>
      <c r="K130" s="138"/>
      <c r="L130" s="138"/>
      <c r="M130" s="138"/>
      <c r="N130" s="138"/>
      <c r="O130" s="138"/>
      <c r="P130" s="138"/>
      <c r="Q130" s="38"/>
      <c r="R130" s="20"/>
    </row>
    <row r="131" spans="1:18" ht="29.25" hidden="1" customHeight="1" thickTop="1" thickBot="1" x14ac:dyDescent="0.35">
      <c r="A131" s="3"/>
      <c r="B131" s="3"/>
      <c r="C131" s="3"/>
      <c r="D131" s="3"/>
      <c r="E131" s="35"/>
      <c r="F131" s="36">
        <v>12</v>
      </c>
      <c r="G131" s="137" t="s">
        <v>70</v>
      </c>
      <c r="H131" s="138"/>
      <c r="I131" s="138"/>
      <c r="J131" s="138"/>
      <c r="K131" s="138"/>
      <c r="L131" s="138"/>
      <c r="M131" s="138"/>
      <c r="N131" s="138"/>
      <c r="O131" s="138"/>
      <c r="P131" s="138"/>
      <c r="Q131" s="38"/>
      <c r="R131" s="20"/>
    </row>
    <row r="132" spans="1:18" ht="29.25" hidden="1" customHeight="1" thickTop="1" thickBot="1" x14ac:dyDescent="0.35">
      <c r="A132" s="3"/>
      <c r="B132" s="3"/>
      <c r="C132" s="3"/>
      <c r="D132" s="3"/>
      <c r="E132" s="35"/>
      <c r="F132" s="36">
        <v>13</v>
      </c>
      <c r="G132" s="137" t="s">
        <v>71</v>
      </c>
      <c r="H132" s="138"/>
      <c r="I132" s="138"/>
      <c r="J132" s="138"/>
      <c r="K132" s="138"/>
      <c r="L132" s="138"/>
      <c r="M132" s="138"/>
      <c r="N132" s="138"/>
      <c r="O132" s="138"/>
      <c r="P132" s="138"/>
      <c r="Q132" s="38"/>
      <c r="R132" s="20"/>
    </row>
    <row r="133" spans="1:18" ht="29.25" hidden="1" customHeight="1" thickTop="1" thickBot="1" x14ac:dyDescent="0.35">
      <c r="A133" s="3"/>
      <c r="B133" s="3"/>
      <c r="C133" s="3"/>
      <c r="D133" s="3"/>
      <c r="E133" s="35"/>
      <c r="F133" s="36">
        <v>14</v>
      </c>
      <c r="G133" s="137" t="s">
        <v>72</v>
      </c>
      <c r="H133" s="138"/>
      <c r="I133" s="138"/>
      <c r="J133" s="138"/>
      <c r="K133" s="138"/>
      <c r="L133" s="138"/>
      <c r="M133" s="138"/>
      <c r="N133" s="138"/>
      <c r="O133" s="138"/>
      <c r="P133" s="138"/>
      <c r="Q133" s="38"/>
      <c r="R133" s="20"/>
    </row>
    <row r="134" spans="1:18" ht="29.25" hidden="1" customHeight="1" thickTop="1" thickBot="1" x14ac:dyDescent="0.35">
      <c r="A134" s="3"/>
      <c r="B134" s="3"/>
      <c r="C134" s="3"/>
      <c r="D134" s="3"/>
      <c r="E134" s="35"/>
      <c r="F134" s="36">
        <v>15</v>
      </c>
      <c r="G134" s="137" t="s">
        <v>73</v>
      </c>
      <c r="H134" s="138"/>
      <c r="I134" s="138"/>
      <c r="J134" s="138"/>
      <c r="K134" s="138"/>
      <c r="L134" s="138"/>
      <c r="M134" s="138"/>
      <c r="N134" s="138"/>
      <c r="O134" s="138"/>
      <c r="P134" s="138"/>
      <c r="Q134" s="38"/>
      <c r="R134" s="20"/>
    </row>
    <row r="135" spans="1:18" ht="29.25" hidden="1" customHeight="1" thickTop="1" thickBot="1" x14ac:dyDescent="0.35">
      <c r="A135" s="3"/>
      <c r="B135" s="3"/>
      <c r="C135" s="3"/>
      <c r="D135" s="3"/>
      <c r="E135" s="35"/>
      <c r="F135" s="36">
        <v>16</v>
      </c>
      <c r="G135" s="137" t="s">
        <v>77</v>
      </c>
      <c r="H135" s="138"/>
      <c r="I135" s="138"/>
      <c r="J135" s="138"/>
      <c r="K135" s="138"/>
      <c r="L135" s="138"/>
      <c r="M135" s="138"/>
      <c r="N135" s="138"/>
      <c r="O135" s="138"/>
      <c r="P135" s="138"/>
      <c r="Q135" s="38"/>
      <c r="R135" s="20"/>
    </row>
    <row r="136" spans="1:18" ht="29.25" hidden="1" customHeight="1" thickTop="1" thickBot="1" x14ac:dyDescent="0.35">
      <c r="A136" s="3"/>
      <c r="B136" s="3"/>
      <c r="C136" s="3"/>
      <c r="D136" s="3"/>
      <c r="E136" s="35"/>
      <c r="F136" s="36">
        <v>17</v>
      </c>
      <c r="G136" s="137" t="s">
        <v>75</v>
      </c>
      <c r="H136" s="138"/>
      <c r="I136" s="138"/>
      <c r="J136" s="138"/>
      <c r="K136" s="138"/>
      <c r="L136" s="138"/>
      <c r="M136" s="138"/>
      <c r="N136" s="138"/>
      <c r="O136" s="138"/>
      <c r="P136" s="138"/>
      <c r="Q136" s="38"/>
      <c r="R136" s="20"/>
    </row>
    <row r="137" spans="1:18" ht="29.25" hidden="1" customHeight="1" thickTop="1" thickBot="1" x14ac:dyDescent="0.35">
      <c r="A137" s="3"/>
      <c r="B137" s="3"/>
      <c r="C137" s="3"/>
      <c r="D137" s="3"/>
      <c r="E137" s="35"/>
      <c r="F137" s="36">
        <v>18</v>
      </c>
      <c r="G137" s="137" t="s">
        <v>82</v>
      </c>
      <c r="H137" s="138"/>
      <c r="I137" s="138"/>
      <c r="J137" s="138"/>
      <c r="K137" s="138"/>
      <c r="L137" s="138"/>
      <c r="M137" s="138"/>
      <c r="N137" s="138"/>
      <c r="O137" s="138"/>
      <c r="P137" s="138"/>
      <c r="Q137" s="38"/>
      <c r="R137" s="20"/>
    </row>
    <row r="138" spans="1:18" ht="29.25" hidden="1" customHeight="1" thickTop="1" thickBot="1" x14ac:dyDescent="0.35">
      <c r="A138" s="3"/>
      <c r="B138" s="3"/>
      <c r="C138" s="3"/>
      <c r="D138" s="3"/>
      <c r="E138" s="35"/>
      <c r="F138" s="36">
        <v>19</v>
      </c>
      <c r="G138" s="139" t="s">
        <v>79</v>
      </c>
      <c r="H138" s="140"/>
      <c r="I138" s="140"/>
      <c r="J138" s="140"/>
      <c r="K138" s="140"/>
      <c r="L138" s="140"/>
      <c r="M138" s="140"/>
      <c r="N138" s="140"/>
      <c r="O138" s="140"/>
      <c r="P138" s="141"/>
      <c r="Q138" s="38"/>
      <c r="R138" s="20"/>
    </row>
    <row r="139" spans="1:18" ht="29.25" hidden="1" customHeight="1" thickTop="1" thickBot="1" x14ac:dyDescent="0.35">
      <c r="A139" s="3"/>
      <c r="B139" s="3"/>
      <c r="C139" s="3"/>
      <c r="D139" s="3"/>
      <c r="E139" s="35"/>
      <c r="F139" s="36">
        <v>20</v>
      </c>
      <c r="G139" s="139" t="s">
        <v>60</v>
      </c>
      <c r="H139" s="140"/>
      <c r="I139" s="140"/>
      <c r="J139" s="140"/>
      <c r="K139" s="140"/>
      <c r="L139" s="140"/>
      <c r="M139" s="140"/>
      <c r="N139" s="140"/>
      <c r="O139" s="140"/>
      <c r="P139" s="141"/>
      <c r="Q139" s="38"/>
      <c r="R139" s="20"/>
    </row>
    <row r="140" spans="1:18" ht="29.25" hidden="1" customHeight="1" thickTop="1" thickBot="1" x14ac:dyDescent="0.35">
      <c r="A140" s="3"/>
      <c r="B140" s="3"/>
      <c r="C140" s="3"/>
      <c r="D140" s="3"/>
      <c r="E140" s="35"/>
      <c r="F140" s="36">
        <v>21</v>
      </c>
      <c r="G140" s="139" t="s">
        <v>59</v>
      </c>
      <c r="H140" s="140"/>
      <c r="I140" s="140"/>
      <c r="J140" s="140"/>
      <c r="K140" s="140"/>
      <c r="L140" s="140"/>
      <c r="M140" s="140"/>
      <c r="N140" s="140"/>
      <c r="O140" s="140"/>
      <c r="P140" s="141"/>
      <c r="Q140" s="38"/>
      <c r="R140" s="20"/>
    </row>
    <row r="141" spans="1:18" ht="17.25" hidden="1" thickTop="1" x14ac:dyDescent="0.3">
      <c r="R141" s="4"/>
    </row>
    <row r="142" spans="1:18" ht="17.25" thickTop="1" x14ac:dyDescent="0.3">
      <c r="A142" s="3"/>
      <c r="B142" s="3"/>
      <c r="C142" s="3"/>
      <c r="D142" s="3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20"/>
    </row>
    <row r="143" spans="1:18" x14ac:dyDescent="0.3">
      <c r="A143" s="3"/>
      <c r="B143" s="3"/>
      <c r="C143" s="3"/>
      <c r="D143" s="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20"/>
    </row>
    <row r="144" spans="1:18" x14ac:dyDescent="0.3">
      <c r="A144" s="3"/>
      <c r="B144" s="3"/>
      <c r="C144" s="3"/>
      <c r="D144" s="3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20"/>
    </row>
    <row r="145" spans="1:18" x14ac:dyDescent="0.3">
      <c r="A145" s="3"/>
      <c r="B145" s="3"/>
      <c r="C145" s="3"/>
      <c r="D145" s="3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20"/>
    </row>
    <row r="146" spans="1:18" x14ac:dyDescent="0.3">
      <c r="A146" s="3"/>
      <c r="B146" s="3"/>
      <c r="C146" s="3"/>
      <c r="D146" s="3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 t="s">
        <v>198</v>
      </c>
      <c r="Q146" s="7"/>
      <c r="R146" s="20"/>
    </row>
    <row r="147" spans="1:18" x14ac:dyDescent="0.3">
      <c r="A147" s="3"/>
      <c r="C147" s="3"/>
      <c r="D147" s="3"/>
      <c r="M147" s="7"/>
      <c r="N147" s="7"/>
      <c r="O147" s="7"/>
      <c r="P147" s="7"/>
      <c r="Q147" s="7"/>
      <c r="R147" s="20"/>
    </row>
    <row r="148" spans="1:18" x14ac:dyDescent="0.3">
      <c r="A148" s="3"/>
      <c r="B148" s="3"/>
      <c r="C148" s="3"/>
      <c r="D148" s="3"/>
    </row>
    <row r="149" spans="1:18" x14ac:dyDescent="0.3">
      <c r="A149" s="3"/>
      <c r="B149" s="3"/>
      <c r="C149" s="3"/>
      <c r="D149" s="3"/>
      <c r="F149" s="174"/>
      <c r="G149" s="173"/>
      <c r="H149" s="173"/>
      <c r="I149" s="174"/>
      <c r="J149" s="171"/>
      <c r="K149" s="172"/>
      <c r="L149" s="196"/>
      <c r="M149" s="171"/>
      <c r="N149" s="171"/>
      <c r="O149" s="3"/>
    </row>
    <row r="150" spans="1:18" x14ac:dyDescent="0.3">
      <c r="A150" s="3"/>
      <c r="B150" s="3"/>
      <c r="C150" s="3"/>
      <c r="D150" s="3"/>
      <c r="F150" s="174"/>
      <c r="G150" s="173"/>
      <c r="H150" s="173"/>
      <c r="I150" s="174"/>
      <c r="J150" s="171"/>
      <c r="K150" s="172"/>
      <c r="L150" s="174"/>
      <c r="M150" s="171"/>
      <c r="N150" s="171"/>
    </row>
    <row r="151" spans="1:18" x14ac:dyDescent="0.3">
      <c r="F151" s="174"/>
      <c r="G151" s="178"/>
      <c r="H151" s="171"/>
      <c r="I151" s="171"/>
      <c r="J151" s="171"/>
      <c r="L151" s="196"/>
      <c r="M151" s="171"/>
      <c r="N151" s="171"/>
    </row>
    <row r="152" spans="1:18" x14ac:dyDescent="0.3">
      <c r="F152" s="174"/>
      <c r="G152" s="178"/>
      <c r="H152" s="171"/>
      <c r="I152" s="171"/>
      <c r="J152" s="171"/>
      <c r="K152" s="172"/>
      <c r="L152" s="174"/>
      <c r="M152" s="171"/>
      <c r="N152" s="171"/>
    </row>
    <row r="153" spans="1:18" x14ac:dyDescent="0.3">
      <c r="G153" s="178"/>
      <c r="H153" s="171"/>
      <c r="I153" s="171"/>
      <c r="J153" s="171"/>
      <c r="M153" s="171"/>
      <c r="N153" s="171"/>
    </row>
    <row r="154" spans="1:18" x14ac:dyDescent="0.3">
      <c r="G154" s="178"/>
      <c r="H154" s="171"/>
      <c r="I154" s="171"/>
      <c r="J154" s="171"/>
      <c r="M154" s="171"/>
      <c r="N154" s="171"/>
    </row>
    <row r="155" spans="1:18" x14ac:dyDescent="0.3">
      <c r="G155" s="178"/>
      <c r="H155" s="171"/>
      <c r="I155" s="171"/>
      <c r="J155" s="171"/>
      <c r="K155" s="171"/>
      <c r="M155" s="171"/>
      <c r="N155" s="171"/>
    </row>
    <row r="156" spans="1:18" x14ac:dyDescent="0.3">
      <c r="G156" s="178"/>
      <c r="H156" s="171"/>
      <c r="I156" s="171"/>
      <c r="J156" s="171"/>
      <c r="K156" s="171"/>
      <c r="M156" s="171"/>
      <c r="N156" s="171"/>
    </row>
    <row r="157" spans="1:18" x14ac:dyDescent="0.3">
      <c r="G157" s="178"/>
      <c r="H157" s="171"/>
      <c r="I157" s="171"/>
      <c r="J157" s="171"/>
      <c r="K157" s="171"/>
    </row>
    <row r="158" spans="1:18" x14ac:dyDescent="0.3">
      <c r="H158" s="177"/>
      <c r="I158" s="171"/>
      <c r="J158" s="171"/>
      <c r="K158" s="171"/>
    </row>
    <row r="159" spans="1:18" x14ac:dyDescent="0.3">
      <c r="H159" s="176"/>
      <c r="I159" s="171"/>
      <c r="J159" s="171"/>
      <c r="K159" s="171"/>
    </row>
    <row r="160" spans="1:18" x14ac:dyDescent="0.3">
      <c r="H160" s="176"/>
      <c r="I160" s="171"/>
      <c r="J160" s="171"/>
      <c r="K160" s="171"/>
    </row>
    <row r="161" spans="8:11" x14ac:dyDescent="0.3">
      <c r="H161" s="176"/>
      <c r="I161" s="171"/>
      <c r="J161" s="171"/>
      <c r="K161" s="171"/>
    </row>
    <row r="162" spans="8:11" x14ac:dyDescent="0.3">
      <c r="H162" s="176"/>
      <c r="I162" s="171"/>
      <c r="J162" s="171"/>
      <c r="K162" s="171"/>
    </row>
    <row r="163" spans="8:11" x14ac:dyDescent="0.3">
      <c r="H163" s="176"/>
      <c r="I163" s="171"/>
      <c r="J163" s="171"/>
      <c r="K163" s="171"/>
    </row>
    <row r="164" spans="8:11" x14ac:dyDescent="0.3">
      <c r="H164" s="175"/>
    </row>
  </sheetData>
  <sheetProtection password="8928" sheet="1" formatCells="0"/>
  <protectedRanges>
    <protectedRange sqref="O117:P119" name="nombre 2"/>
    <protectedRange sqref="I114" name="Incremento Salarial anual"/>
    <protectedRange sqref="G92:I106" name="Situación antes de preyección"/>
    <protectedRange sqref="M44" name="Población en el municipio"/>
    <protectedRange sqref="M42" name="Total de unidades en el Municipio"/>
    <protectedRange sqref="M40" name="Elementos en activo en la corporación"/>
    <protectedRange sqref="F36:I36" name="Funciones"/>
    <protectedRange sqref="F23:P23" name="Estructura Terciaria"/>
    <protectedRange sqref="B24:B32" name="Elemento"/>
    <protectedRange sqref="K4" name="Entidad"/>
    <protectedRange sqref="K6" name="Municipio"/>
    <protectedRange sqref="C57:C67" name="Incremento por Grado"/>
    <protectedRange sqref="H54:J54" name="Incremento entre Tabuladores"/>
    <protectedRange sqref="F54" name="sueldo base"/>
    <protectedRange sqref="L117:M119" name="nombre1"/>
  </protectedRanges>
  <mergeCells count="61">
    <mergeCell ref="Q42:Q43"/>
    <mergeCell ref="H41:I44"/>
    <mergeCell ref="H40:I40"/>
    <mergeCell ref="O6:P6"/>
    <mergeCell ref="K6:M6"/>
    <mergeCell ref="M90:N90"/>
    <mergeCell ref="H53:J53"/>
    <mergeCell ref="H47:L49"/>
    <mergeCell ref="O113:P113"/>
    <mergeCell ref="F113:H113"/>
    <mergeCell ref="O117:P117"/>
    <mergeCell ref="F114:H114"/>
    <mergeCell ref="T2:W16"/>
    <mergeCell ref="J2:P2"/>
    <mergeCell ref="F112:I112"/>
    <mergeCell ref="M54:M55"/>
    <mergeCell ref="N73:N74"/>
    <mergeCell ref="M74:M75"/>
    <mergeCell ref="K4:M4"/>
    <mergeCell ref="H46:L46"/>
    <mergeCell ref="C11:E11"/>
    <mergeCell ref="C12:E12"/>
    <mergeCell ref="C17:E17"/>
    <mergeCell ref="C13:E13"/>
    <mergeCell ref="C14:E14"/>
    <mergeCell ref="C18:E18"/>
    <mergeCell ref="C16:E16"/>
    <mergeCell ref="C15:E15"/>
    <mergeCell ref="F118:H118"/>
    <mergeCell ref="C55:C56"/>
    <mergeCell ref="F115:H115"/>
    <mergeCell ref="F116:H116"/>
    <mergeCell ref="F117:H117"/>
    <mergeCell ref="O118:P119"/>
    <mergeCell ref="L118:M119"/>
    <mergeCell ref="L117:M117"/>
    <mergeCell ref="L113:M113"/>
    <mergeCell ref="M109:O109"/>
    <mergeCell ref="C19:E19"/>
    <mergeCell ref="C20:E20"/>
    <mergeCell ref="C26:E26"/>
    <mergeCell ref="C49:E49"/>
    <mergeCell ref="C45:E45"/>
    <mergeCell ref="C46:E46"/>
    <mergeCell ref="C22:E22"/>
    <mergeCell ref="C23:E23"/>
    <mergeCell ref="C24:E24"/>
    <mergeCell ref="C47:E47"/>
    <mergeCell ref="C48:E48"/>
    <mergeCell ref="C44:E44"/>
    <mergeCell ref="C43:E43"/>
    <mergeCell ref="C42:E42"/>
    <mergeCell ref="C41:E41"/>
    <mergeCell ref="C40:E40"/>
    <mergeCell ref="C25:E25"/>
    <mergeCell ref="C32:E32"/>
    <mergeCell ref="C31:E31"/>
    <mergeCell ref="C30:E30"/>
    <mergeCell ref="C29:E29"/>
    <mergeCell ref="C28:E28"/>
    <mergeCell ref="C27:E27"/>
  </mergeCells>
  <phoneticPr fontId="36" type="noConversion"/>
  <conditionalFormatting sqref="O32:P32 Q23:Q32 F24:N32">
    <cfRule type="cellIs" dxfId="33" priority="3" stopIfTrue="1" operator="lessThan">
      <formula>1</formula>
    </cfRule>
  </conditionalFormatting>
  <dataValidations disablePrompts="1" count="2">
    <dataValidation type="list" allowBlank="1" showDropDown="1" showInputMessage="1" showErrorMessage="1" sqref="P23">
      <formula1>$T$20:$T$21</formula1>
    </dataValidation>
    <dataValidation allowBlank="1" showDropDown="1" showInputMessage="1" showErrorMessage="1" sqref="F92:F107 M91:M105"/>
  </dataValidations>
  <printOptions horizontalCentered="1"/>
  <pageMargins left="0.15748031496062992" right="0.15748031496062992" top="0.23622047244094491" bottom="0.23622047244094491" header="0.19685039370078741" footer="0.15748031496062992"/>
  <pageSetup scale="50" fitToHeight="0" orientation="landscape" r:id="rId1"/>
  <rowBreaks count="2" manualBreakCount="2">
    <brk id="50" max="16383" man="1"/>
    <brk id="88" max="18" man="1"/>
  </rowBreaks>
  <colBreaks count="1" manualBreakCount="1">
    <brk id="16" max="1048575" man="1"/>
  </colBreaks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68"/>
  <sheetViews>
    <sheetView showGridLines="0" topLeftCell="A90" zoomScale="90" zoomScaleNormal="90" zoomScaleSheetLayoutView="70" workbookViewId="0">
      <selection activeCell="C110" sqref="C110"/>
    </sheetView>
  </sheetViews>
  <sheetFormatPr baseColWidth="10" defaultRowHeight="15" x14ac:dyDescent="0.25"/>
  <cols>
    <col min="1" max="1" width="9.5703125" style="146" bestFit="1" customWidth="1"/>
    <col min="2" max="2" width="24.28515625" style="146" customWidth="1"/>
    <col min="3" max="3" width="41.5703125" style="146" customWidth="1"/>
    <col min="4" max="4" width="18.42578125" style="146" customWidth="1"/>
    <col min="5" max="5" width="19.140625" style="160" customWidth="1"/>
    <col min="6" max="6" width="24" style="146" customWidth="1"/>
    <col min="7" max="7" width="13" style="145" hidden="1" customWidth="1"/>
    <col min="8" max="8" width="19.140625" style="146" customWidth="1"/>
    <col min="9" max="9" width="21.85546875" style="146" customWidth="1"/>
    <col min="10" max="10" width="17.5703125" style="146" customWidth="1"/>
    <col min="11" max="11" width="15.140625" style="146" bestFit="1" customWidth="1"/>
    <col min="12" max="12" width="19.140625" style="146" customWidth="1"/>
    <col min="13" max="13" width="14.5703125" style="146" customWidth="1"/>
    <col min="14" max="14" width="12.42578125" style="146" customWidth="1"/>
    <col min="15" max="15" width="11.42578125" style="146" hidden="1" customWidth="1"/>
    <col min="16" max="16" width="16.5703125" style="146" hidden="1" customWidth="1"/>
    <col min="17" max="17" width="17.5703125" style="146" bestFit="1" customWidth="1"/>
    <col min="18" max="18" width="14.85546875" style="146" customWidth="1"/>
    <col min="19" max="16384" width="11.42578125" style="146"/>
  </cols>
  <sheetData>
    <row r="1" spans="1:26" x14ac:dyDescent="0.25">
      <c r="A1" s="136"/>
      <c r="B1" s="179"/>
      <c r="C1" s="136"/>
      <c r="D1" s="136"/>
      <c r="E1" s="144"/>
      <c r="F1" s="136"/>
      <c r="H1" s="136"/>
      <c r="J1" s="136"/>
      <c r="K1" s="136"/>
      <c r="L1" s="136"/>
      <c r="M1" s="136"/>
      <c r="N1" s="136"/>
      <c r="O1" s="136"/>
      <c r="P1" s="136"/>
    </row>
    <row r="2" spans="1:26" x14ac:dyDescent="0.25">
      <c r="A2" s="136"/>
      <c r="B2" s="179"/>
      <c r="C2" s="136"/>
      <c r="D2" s="441"/>
      <c r="E2" s="441"/>
      <c r="F2" s="441"/>
      <c r="G2" s="441"/>
      <c r="H2" s="136"/>
      <c r="J2" s="136"/>
      <c r="K2" s="136"/>
      <c r="L2" s="136"/>
      <c r="M2" s="136"/>
      <c r="N2" s="136"/>
      <c r="O2" s="136"/>
      <c r="P2" s="136"/>
    </row>
    <row r="3" spans="1:26" x14ac:dyDescent="0.25">
      <c r="A3" s="136"/>
      <c r="B3" s="179"/>
      <c r="C3" s="136"/>
      <c r="D3" s="441"/>
      <c r="E3" s="441"/>
      <c r="F3" s="441"/>
      <c r="G3" s="441"/>
      <c r="H3" s="136"/>
      <c r="J3" s="136"/>
      <c r="K3" s="136"/>
      <c r="L3" s="136"/>
      <c r="M3" s="136"/>
      <c r="N3" s="136"/>
      <c r="O3" s="136"/>
      <c r="P3" s="136"/>
    </row>
    <row r="4" spans="1:26" x14ac:dyDescent="0.25">
      <c r="A4" s="136"/>
      <c r="B4" s="179"/>
      <c r="C4"/>
      <c r="D4" s="442"/>
      <c r="E4" s="442"/>
      <c r="F4" s="442"/>
      <c r="G4" s="442"/>
      <c r="H4" s="136"/>
      <c r="J4" s="136"/>
      <c r="K4" s="136"/>
      <c r="L4" s="136"/>
      <c r="M4" s="136"/>
      <c r="N4" s="136"/>
      <c r="O4" s="136"/>
      <c r="P4" s="136"/>
    </row>
    <row r="5" spans="1:26" x14ac:dyDescent="0.25">
      <c r="A5" s="136"/>
      <c r="B5" s="179"/>
      <c r="C5" s="136"/>
      <c r="D5" s="435" t="s">
        <v>191</v>
      </c>
      <c r="E5" s="435"/>
      <c r="F5" s="435"/>
      <c r="G5" s="435"/>
      <c r="H5" s="136"/>
      <c r="J5" s="136"/>
      <c r="K5" s="136"/>
      <c r="L5" s="136"/>
      <c r="M5" s="136"/>
      <c r="N5" s="136"/>
      <c r="O5" s="136"/>
      <c r="P5" s="136"/>
    </row>
    <row r="6" spans="1:26" ht="18.75" x14ac:dyDescent="0.3">
      <c r="A6" s="136"/>
      <c r="B6" s="179"/>
      <c r="C6" s="136"/>
      <c r="D6" s="434"/>
      <c r="E6" s="434"/>
      <c r="F6" s="434"/>
      <c r="G6" s="434"/>
      <c r="H6" s="439"/>
      <c r="I6" s="439"/>
      <c r="J6" s="439"/>
      <c r="P6" s="136"/>
    </row>
    <row r="7" spans="1:26" ht="36" x14ac:dyDescent="0.55000000000000004">
      <c r="A7" s="232"/>
      <c r="B7" s="257"/>
      <c r="C7" s="257"/>
      <c r="D7" s="445">
        <f>VLOOKUP(C8,'Simulador Piramide-Salarios'!J4:M4,2,0)</f>
        <v>0</v>
      </c>
      <c r="E7" s="445"/>
      <c r="F7" s="445"/>
      <c r="G7" s="258"/>
      <c r="H7" s="258"/>
      <c r="K7" s="435" t="s">
        <v>160</v>
      </c>
      <c r="L7" s="435" t="s">
        <v>159</v>
      </c>
      <c r="M7" s="435"/>
      <c r="N7" s="435"/>
      <c r="P7" s="232"/>
    </row>
    <row r="8" spans="1:26" ht="28.5" x14ac:dyDescent="0.45">
      <c r="A8" s="136"/>
      <c r="B8" s="255"/>
      <c r="C8" s="236" t="s">
        <v>51</v>
      </c>
      <c r="D8" s="446">
        <f>VLOOKUP(C9,'Simulador Piramide-Salarios'!J6:M6,2,0)</f>
        <v>0</v>
      </c>
      <c r="E8" s="446"/>
      <c r="F8" s="446"/>
      <c r="G8" s="256"/>
      <c r="H8" s="256"/>
      <c r="K8" s="281">
        <v>0</v>
      </c>
      <c r="L8" s="214">
        <f>K8/30+12</f>
        <v>12</v>
      </c>
      <c r="M8" s="136"/>
      <c r="N8" s="136"/>
      <c r="P8" s="136"/>
    </row>
    <row r="9" spans="1:26" ht="15.75" x14ac:dyDescent="0.25">
      <c r="A9" s="136"/>
      <c r="B9" s="255"/>
      <c r="C9" s="236" t="s">
        <v>50</v>
      </c>
      <c r="D9" s="255"/>
      <c r="E9" s="145"/>
      <c r="G9" s="235"/>
      <c r="H9" s="255"/>
      <c r="K9" s="136"/>
      <c r="L9" s="136"/>
      <c r="M9" s="136"/>
      <c r="N9" s="136"/>
      <c r="O9" s="136"/>
      <c r="P9" s="136"/>
    </row>
    <row r="10" spans="1:26" s="191" customFormat="1" ht="21" customHeight="1" x14ac:dyDescent="0.25">
      <c r="A10" s="443" t="s">
        <v>139</v>
      </c>
      <c r="B10" s="443"/>
      <c r="C10" s="443"/>
      <c r="D10" s="443"/>
      <c r="E10" s="444" t="s">
        <v>140</v>
      </c>
      <c r="F10" s="444"/>
      <c r="G10" s="444"/>
      <c r="H10" s="440"/>
      <c r="I10" s="440"/>
      <c r="J10" s="440"/>
      <c r="K10" s="440"/>
      <c r="L10" s="440"/>
      <c r="M10" s="440"/>
      <c r="N10" s="440"/>
      <c r="O10" s="440"/>
      <c r="P10" s="440"/>
    </row>
    <row r="11" spans="1:26" s="192" customFormat="1" ht="60" customHeight="1" x14ac:dyDescent="0.25">
      <c r="A11" s="147" t="s">
        <v>141</v>
      </c>
      <c r="B11" s="147" t="s">
        <v>142</v>
      </c>
      <c r="C11" s="148" t="s">
        <v>143</v>
      </c>
      <c r="D11" s="148" t="s">
        <v>144</v>
      </c>
      <c r="E11" s="149" t="s">
        <v>175</v>
      </c>
      <c r="F11" s="150" t="s">
        <v>176</v>
      </c>
      <c r="G11" s="151"/>
      <c r="H11" s="151" t="s">
        <v>177</v>
      </c>
      <c r="I11" s="150" t="s">
        <v>145</v>
      </c>
      <c r="J11" s="152" t="s">
        <v>146</v>
      </c>
      <c r="K11" s="150" t="s">
        <v>178</v>
      </c>
      <c r="L11" s="150" t="s">
        <v>181</v>
      </c>
      <c r="M11" s="153" t="s">
        <v>179</v>
      </c>
      <c r="N11" s="150" t="s">
        <v>180</v>
      </c>
      <c r="O11" s="150" t="s">
        <v>148</v>
      </c>
      <c r="P11" s="150" t="s">
        <v>149</v>
      </c>
      <c r="Q11" s="282" t="s">
        <v>193</v>
      </c>
    </row>
    <row r="12" spans="1:26" x14ac:dyDescent="0.25">
      <c r="A12" s="180">
        <f t="shared" ref="A12:A111" si="0">IF(I12=I11,(IF(A11&gt;1,A11+1,1+1)),1)</f>
        <v>1</v>
      </c>
      <c r="B12" s="296"/>
      <c r="C12" s="306"/>
      <c r="D12" s="304"/>
      <c r="E12" s="305"/>
      <c r="F12" s="296"/>
      <c r="G12" s="216">
        <f>+I12</f>
        <v>0</v>
      </c>
      <c r="H12" s="279">
        <f>E12+F12</f>
        <v>0</v>
      </c>
      <c r="I12" s="280"/>
      <c r="J12" s="202" t="e">
        <f>IF(I12=("Comisario"),(VLOOKUP(I12,'Simulador Piramide-Salarios'!$F$57:$J$74,5,0)),(IF(I12=("Inspector General"),(VLOOKUP(I12,'Simulador Piramide-Salarios'!$F$57:$J$74,5,0)),(IF(I12=("Subinspector"),(VLOOKUP(I12,'Simulador Piramide-Salarios'!$F$57:$J$74,5,0)),(IF(I12=("Inspector"),(VLOOKUP(I12,'Simulador Piramide-Salarios'!$F$57:$J$74,5,0)),(IF(I12=("Inspector Jefe"),(VLOOKUP(I12,'Simulador Piramide-Salarios'!$F$57:$J$74,5,0)),(IF((IF((VLOOKUP(I12,'Simulador Piramide-Salarios'!$F$57:$J$74,3,0))&gt;0,(VLOOKUP(I12,'Simulador Piramide-Salarios'!$F$57:$J$74,3,0)),(VLOOKUP(I12,'Simulador Piramide-Salarios'!$E$57:$J$74,5,0))))&gt;0,(IF((VLOOKUP(I12,'Simulador Piramide-Salarios'!$F$57:$J$74,3,0))&gt;0,(VLOOKUP(I12,'Simulador Piramide-Salarios'!$F$57:$J$74,3,0)),(VLOOKUP(I12,'Simulador Piramide-Salarios'!$E$57:$J$74,5,0)))),(VLOOKUP(I12,'Simulador Piramide-Salarios'!$D$57:$J$74,7,0)))))))))))))</f>
        <v>#N/A</v>
      </c>
      <c r="K12" s="200" t="e">
        <f>J12-H12</f>
        <v>#N/A</v>
      </c>
      <c r="L12" s="200" t="e">
        <f>K12*L$8</f>
        <v>#N/A</v>
      </c>
      <c r="M12" s="211" t="e">
        <f>K12/H12</f>
        <v>#N/A</v>
      </c>
      <c r="N12" s="201" t="e">
        <f>IF(H12-J12&lt;=0,0,H12-J12)</f>
        <v>#N/A</v>
      </c>
      <c r="O12" s="198">
        <v>0</v>
      </c>
      <c r="P12" s="198">
        <v>0</v>
      </c>
      <c r="Q12" s="200" t="e">
        <f>IF(L12&lt;=0,0,L12)</f>
        <v>#N/A</v>
      </c>
    </row>
    <row r="13" spans="1:26" x14ac:dyDescent="0.25">
      <c r="A13" s="180">
        <f>IF(I13=I12,(IF(A12&gt;1,A12+1,1+1)),1)</f>
        <v>2</v>
      </c>
      <c r="B13" s="296"/>
      <c r="C13" s="307"/>
      <c r="D13" s="304"/>
      <c r="E13" s="305"/>
      <c r="F13" s="296"/>
      <c r="G13" s="216">
        <f t="shared" ref="G13:G76" si="1">+I13</f>
        <v>0</v>
      </c>
      <c r="H13" s="279">
        <f t="shared" ref="H13:H76" si="2">E13+F13</f>
        <v>0</v>
      </c>
      <c r="I13" s="280"/>
      <c r="J13" s="202" t="e">
        <f>IF(I13=("Comisario"),(VLOOKUP(I13,'Simulador Piramide-Salarios'!$F$57:$J$74,5,0)),(IF(I13=("Inspector General"),(VLOOKUP(I13,'Simulador Piramide-Salarios'!$F$57:$J$74,5,0)),(IF(I13=("Subinspector"),(VLOOKUP(I13,'Simulador Piramide-Salarios'!$F$57:$J$74,5,0)),(IF(I13=("Inspector"),(VLOOKUP(I13,'Simulador Piramide-Salarios'!$F$57:$J$74,5,0)),(IF(I13=("Inspector Jefe"),(VLOOKUP(I13,'Simulador Piramide-Salarios'!$F$57:$J$74,5,0)),(IF((IF((VLOOKUP(I13,'Simulador Piramide-Salarios'!$F$57:$J$74,3,0))&gt;0,(VLOOKUP(I13,'Simulador Piramide-Salarios'!$F$57:$J$74,3,0)),(VLOOKUP(I13,'Simulador Piramide-Salarios'!$E$57:$J$74,5,0))))&gt;0,(IF((VLOOKUP(I13,'Simulador Piramide-Salarios'!$F$57:$J$74,3,0))&gt;0,(VLOOKUP(I13,'Simulador Piramide-Salarios'!$F$57:$J$74,3,0)),(VLOOKUP(I13,'Simulador Piramide-Salarios'!$E$57:$J$74,5,0)))),(VLOOKUP(I13,'Simulador Piramide-Salarios'!$D$57:$J$74,7,0)))))))))))))</f>
        <v>#N/A</v>
      </c>
      <c r="K13" s="200" t="e">
        <f t="shared" ref="K13:K76" si="3">J13-H13</f>
        <v>#N/A</v>
      </c>
      <c r="L13" s="200" t="e">
        <f t="shared" ref="L13:L76" si="4">K13*L$8</f>
        <v>#N/A</v>
      </c>
      <c r="M13" s="211" t="e">
        <f t="shared" ref="M13:M76" si="5">K13/H13</f>
        <v>#N/A</v>
      </c>
      <c r="N13" s="201" t="e">
        <f t="shared" ref="N13:N76" si="6">IF(H13-J13&lt;=0,0,H13-J13)</f>
        <v>#N/A</v>
      </c>
      <c r="O13" s="198">
        <v>0</v>
      </c>
      <c r="P13" s="198">
        <v>0</v>
      </c>
      <c r="Q13" s="200" t="e">
        <f t="shared" ref="Q13:Q76" si="7">IF(L13&lt;=0,0,L13)</f>
        <v>#N/A</v>
      </c>
      <c r="Z13" s="207"/>
    </row>
    <row r="14" spans="1:26" x14ac:dyDescent="0.25">
      <c r="A14" s="180">
        <f t="shared" si="0"/>
        <v>3</v>
      </c>
      <c r="B14" s="296"/>
      <c r="C14" s="306"/>
      <c r="D14" s="304"/>
      <c r="E14" s="305"/>
      <c r="F14" s="296"/>
      <c r="G14" s="216">
        <f t="shared" si="1"/>
        <v>0</v>
      </c>
      <c r="H14" s="279">
        <f t="shared" si="2"/>
        <v>0</v>
      </c>
      <c r="I14" s="280"/>
      <c r="J14" s="202" t="e">
        <f>IF(I14=("Comisario"),(VLOOKUP(I14,'Simulador Piramide-Salarios'!$F$57:$J$74,5,0)),(IF(I14=("Inspector General"),(VLOOKUP(I14,'Simulador Piramide-Salarios'!$F$57:$J$74,5,0)),(IF(I14=("Subinspector"),(VLOOKUP(I14,'Simulador Piramide-Salarios'!$F$57:$J$74,5,0)),(IF(I14=("Inspector"),(VLOOKUP(I14,'Simulador Piramide-Salarios'!$F$57:$J$74,5,0)),(IF(I14=("Inspector Jefe"),(VLOOKUP(I14,'Simulador Piramide-Salarios'!$F$57:$J$74,5,0)),(IF((IF((VLOOKUP(I14,'Simulador Piramide-Salarios'!$F$57:$J$74,3,0))&gt;0,(VLOOKUP(I14,'Simulador Piramide-Salarios'!$F$57:$J$74,3,0)),(VLOOKUP(I14,'Simulador Piramide-Salarios'!$E$57:$J$74,5,0))))&gt;0,(IF((VLOOKUP(I14,'Simulador Piramide-Salarios'!$F$57:$J$74,3,0))&gt;0,(VLOOKUP(I14,'Simulador Piramide-Salarios'!$F$57:$J$74,3,0)),(VLOOKUP(I14,'Simulador Piramide-Salarios'!$E$57:$J$74,5,0)))),(VLOOKUP(I14,'Simulador Piramide-Salarios'!$D$57:$J$74,7,0)))))))))))))</f>
        <v>#N/A</v>
      </c>
      <c r="K14" s="200" t="e">
        <f t="shared" si="3"/>
        <v>#N/A</v>
      </c>
      <c r="L14" s="200" t="e">
        <f t="shared" si="4"/>
        <v>#N/A</v>
      </c>
      <c r="M14" s="211" t="e">
        <f t="shared" si="5"/>
        <v>#N/A</v>
      </c>
      <c r="N14" s="201" t="e">
        <f t="shared" si="6"/>
        <v>#N/A</v>
      </c>
      <c r="O14" s="198">
        <v>0</v>
      </c>
      <c r="P14" s="198">
        <v>0</v>
      </c>
      <c r="Q14" s="200" t="e">
        <f t="shared" si="7"/>
        <v>#N/A</v>
      </c>
      <c r="Z14" s="207"/>
    </row>
    <row r="15" spans="1:26" x14ac:dyDescent="0.25">
      <c r="A15" s="180">
        <f t="shared" si="0"/>
        <v>4</v>
      </c>
      <c r="B15" s="296"/>
      <c r="C15" s="306"/>
      <c r="D15" s="304"/>
      <c r="E15" s="305"/>
      <c r="F15" s="296"/>
      <c r="G15" s="216">
        <f t="shared" si="1"/>
        <v>0</v>
      </c>
      <c r="H15" s="279">
        <f t="shared" si="2"/>
        <v>0</v>
      </c>
      <c r="I15" s="280"/>
      <c r="J15" s="202" t="e">
        <f>IF(I15=("Comisario"),(VLOOKUP(I15,'Simulador Piramide-Salarios'!$F$57:$J$74,5,0)),(IF(I15=("Inspector General"),(VLOOKUP(I15,'Simulador Piramide-Salarios'!$F$57:$J$74,5,0)),(IF(I15=("Subinspector"),(VLOOKUP(I15,'Simulador Piramide-Salarios'!$F$57:$J$74,5,0)),(IF(I15=("Inspector"),(VLOOKUP(I15,'Simulador Piramide-Salarios'!$F$57:$J$74,5,0)),(IF(I15=("Inspector Jefe"),(VLOOKUP(I15,'Simulador Piramide-Salarios'!$F$57:$J$74,5,0)),(IF((IF((VLOOKUP(I15,'Simulador Piramide-Salarios'!$F$57:$J$74,3,0))&gt;0,(VLOOKUP(I15,'Simulador Piramide-Salarios'!$F$57:$J$74,3,0)),(VLOOKUP(I15,'Simulador Piramide-Salarios'!$E$57:$J$74,5,0))))&gt;0,(IF((VLOOKUP(I15,'Simulador Piramide-Salarios'!$F$57:$J$74,3,0))&gt;0,(VLOOKUP(I15,'Simulador Piramide-Salarios'!$F$57:$J$74,3,0)),(VLOOKUP(I15,'Simulador Piramide-Salarios'!$E$57:$J$74,5,0)))),(VLOOKUP(I15,'Simulador Piramide-Salarios'!$D$57:$J$74,7,0)))))))))))))</f>
        <v>#N/A</v>
      </c>
      <c r="K15" s="200" t="e">
        <f t="shared" si="3"/>
        <v>#N/A</v>
      </c>
      <c r="L15" s="200" t="e">
        <f t="shared" si="4"/>
        <v>#N/A</v>
      </c>
      <c r="M15" s="211" t="e">
        <f t="shared" si="5"/>
        <v>#N/A</v>
      </c>
      <c r="N15" s="201" t="e">
        <f t="shared" si="6"/>
        <v>#N/A</v>
      </c>
      <c r="O15" s="198">
        <v>0</v>
      </c>
      <c r="P15" s="198">
        <v>0</v>
      </c>
      <c r="Q15" s="200" t="e">
        <f t="shared" si="7"/>
        <v>#N/A</v>
      </c>
      <c r="Z15" s="260"/>
    </row>
    <row r="16" spans="1:26" x14ac:dyDescent="0.25">
      <c r="A16" s="180">
        <f t="shared" si="0"/>
        <v>5</v>
      </c>
      <c r="B16" s="296"/>
      <c r="C16" s="306"/>
      <c r="D16" s="304"/>
      <c r="E16" s="305"/>
      <c r="F16" s="296"/>
      <c r="G16" s="216">
        <f t="shared" si="1"/>
        <v>0</v>
      </c>
      <c r="H16" s="279">
        <f t="shared" si="2"/>
        <v>0</v>
      </c>
      <c r="I16" s="280"/>
      <c r="J16" s="202" t="e">
        <f>IF(I16=("Comisario"),(VLOOKUP(I16,'Simulador Piramide-Salarios'!$F$57:$J$74,5,0)),(IF(I16=("Inspector General"),(VLOOKUP(I16,'Simulador Piramide-Salarios'!$F$57:$J$74,5,0)),(IF(I16=("Subinspector"),(VLOOKUP(I16,'Simulador Piramide-Salarios'!$F$57:$J$74,5,0)),(IF(I16=("Inspector"),(VLOOKUP(I16,'Simulador Piramide-Salarios'!$F$57:$J$74,5,0)),(IF(I16=("Inspector Jefe"),(VLOOKUP(I16,'Simulador Piramide-Salarios'!$F$57:$J$74,5,0)),(IF((IF((VLOOKUP(I16,'Simulador Piramide-Salarios'!$F$57:$J$74,3,0))&gt;0,(VLOOKUP(I16,'Simulador Piramide-Salarios'!$F$57:$J$74,3,0)),(VLOOKUP(I16,'Simulador Piramide-Salarios'!$E$57:$J$74,5,0))))&gt;0,(IF((VLOOKUP(I16,'Simulador Piramide-Salarios'!$F$57:$J$74,3,0))&gt;0,(VLOOKUP(I16,'Simulador Piramide-Salarios'!$F$57:$J$74,3,0)),(VLOOKUP(I16,'Simulador Piramide-Salarios'!$E$57:$J$74,5,0)))),(VLOOKUP(I16,'Simulador Piramide-Salarios'!$D$57:$J$74,7,0)))))))))))))</f>
        <v>#N/A</v>
      </c>
      <c r="K16" s="200" t="e">
        <f t="shared" si="3"/>
        <v>#N/A</v>
      </c>
      <c r="L16" s="200" t="e">
        <f t="shared" si="4"/>
        <v>#N/A</v>
      </c>
      <c r="M16" s="211" t="e">
        <f t="shared" si="5"/>
        <v>#N/A</v>
      </c>
      <c r="N16" s="201" t="e">
        <f t="shared" si="6"/>
        <v>#N/A</v>
      </c>
      <c r="O16" s="198">
        <v>0</v>
      </c>
      <c r="P16" s="198">
        <v>0</v>
      </c>
      <c r="Q16" s="200" t="e">
        <f t="shared" si="7"/>
        <v>#N/A</v>
      </c>
      <c r="Z16" s="260"/>
    </row>
    <row r="17" spans="1:26" x14ac:dyDescent="0.25">
      <c r="A17" s="180">
        <f t="shared" si="0"/>
        <v>6</v>
      </c>
      <c r="B17" s="296"/>
      <c r="C17" s="306"/>
      <c r="D17" s="304"/>
      <c r="E17" s="305"/>
      <c r="F17" s="296"/>
      <c r="G17" s="216">
        <f t="shared" si="1"/>
        <v>0</v>
      </c>
      <c r="H17" s="279">
        <f t="shared" si="2"/>
        <v>0</v>
      </c>
      <c r="I17" s="280"/>
      <c r="J17" s="202" t="e">
        <f>IF(I17=("Comisario"),(VLOOKUP(I17,'Simulador Piramide-Salarios'!$F$57:$J$74,5,0)),(IF(I17=("Inspector General"),(VLOOKUP(I17,'Simulador Piramide-Salarios'!$F$57:$J$74,5,0)),(IF(I17=("Subinspector"),(VLOOKUP(I17,'Simulador Piramide-Salarios'!$F$57:$J$74,5,0)),(IF(I17=("Inspector"),(VLOOKUP(I17,'Simulador Piramide-Salarios'!$F$57:$J$74,5,0)),(IF(I17=("Inspector Jefe"),(VLOOKUP(I17,'Simulador Piramide-Salarios'!$F$57:$J$74,5,0)),(IF((IF((VLOOKUP(I17,'Simulador Piramide-Salarios'!$F$57:$J$74,3,0))&gt;0,(VLOOKUP(I17,'Simulador Piramide-Salarios'!$F$57:$J$74,3,0)),(VLOOKUP(I17,'Simulador Piramide-Salarios'!$E$57:$J$74,5,0))))&gt;0,(IF((VLOOKUP(I17,'Simulador Piramide-Salarios'!$F$57:$J$74,3,0))&gt;0,(VLOOKUP(I17,'Simulador Piramide-Salarios'!$F$57:$J$74,3,0)),(VLOOKUP(I17,'Simulador Piramide-Salarios'!$E$57:$J$74,5,0)))),(VLOOKUP(I17,'Simulador Piramide-Salarios'!$D$57:$J$74,7,0)))))))))))))</f>
        <v>#N/A</v>
      </c>
      <c r="K17" s="200" t="e">
        <f t="shared" si="3"/>
        <v>#N/A</v>
      </c>
      <c r="L17" s="200" t="e">
        <f t="shared" si="4"/>
        <v>#N/A</v>
      </c>
      <c r="M17" s="211" t="e">
        <f t="shared" si="5"/>
        <v>#N/A</v>
      </c>
      <c r="N17" s="201" t="e">
        <f t="shared" si="6"/>
        <v>#N/A</v>
      </c>
      <c r="O17" s="198">
        <v>0</v>
      </c>
      <c r="P17" s="198">
        <v>0</v>
      </c>
      <c r="Q17" s="200" t="e">
        <f t="shared" si="7"/>
        <v>#N/A</v>
      </c>
      <c r="Z17" s="260"/>
    </row>
    <row r="18" spans="1:26" x14ac:dyDescent="0.25">
      <c r="A18" s="180">
        <f t="shared" si="0"/>
        <v>7</v>
      </c>
      <c r="B18" s="296"/>
      <c r="C18" s="306"/>
      <c r="D18" s="304"/>
      <c r="E18" s="305"/>
      <c r="F18" s="296"/>
      <c r="G18" s="216">
        <f t="shared" si="1"/>
        <v>0</v>
      </c>
      <c r="H18" s="279">
        <f t="shared" si="2"/>
        <v>0</v>
      </c>
      <c r="I18" s="280"/>
      <c r="J18" s="202" t="e">
        <f>IF(I18=("Comisario"),(VLOOKUP(I18,'Simulador Piramide-Salarios'!$F$57:$J$74,5,0)),(IF(I18=("Inspector General"),(VLOOKUP(I18,'Simulador Piramide-Salarios'!$F$57:$J$74,5,0)),(IF(I18=("Subinspector"),(VLOOKUP(I18,'Simulador Piramide-Salarios'!$F$57:$J$74,5,0)),(IF(I18=("Inspector"),(VLOOKUP(I18,'Simulador Piramide-Salarios'!$F$57:$J$74,5,0)),(IF(I18=("Inspector Jefe"),(VLOOKUP(I18,'Simulador Piramide-Salarios'!$F$57:$J$74,5,0)),(IF((IF((VLOOKUP(I18,'Simulador Piramide-Salarios'!$F$57:$J$74,3,0))&gt;0,(VLOOKUP(I18,'Simulador Piramide-Salarios'!$F$57:$J$74,3,0)),(VLOOKUP(I18,'Simulador Piramide-Salarios'!$E$57:$J$74,5,0))))&gt;0,(IF((VLOOKUP(I18,'Simulador Piramide-Salarios'!$F$57:$J$74,3,0))&gt;0,(VLOOKUP(I18,'Simulador Piramide-Salarios'!$F$57:$J$74,3,0)),(VLOOKUP(I18,'Simulador Piramide-Salarios'!$E$57:$J$74,5,0)))),(VLOOKUP(I18,'Simulador Piramide-Salarios'!$D$57:$J$74,7,0)))))))))))))</f>
        <v>#N/A</v>
      </c>
      <c r="K18" s="200" t="e">
        <f t="shared" si="3"/>
        <v>#N/A</v>
      </c>
      <c r="L18" s="200" t="e">
        <f t="shared" si="4"/>
        <v>#N/A</v>
      </c>
      <c r="M18" s="211" t="e">
        <f t="shared" si="5"/>
        <v>#N/A</v>
      </c>
      <c r="N18" s="201" t="e">
        <f t="shared" si="6"/>
        <v>#N/A</v>
      </c>
      <c r="O18" s="198">
        <v>0</v>
      </c>
      <c r="P18" s="198">
        <v>0</v>
      </c>
      <c r="Q18" s="200" t="e">
        <f t="shared" si="7"/>
        <v>#N/A</v>
      </c>
      <c r="Z18" s="260"/>
    </row>
    <row r="19" spans="1:26" x14ac:dyDescent="0.25">
      <c r="A19" s="180">
        <f t="shared" si="0"/>
        <v>8</v>
      </c>
      <c r="B19" s="296"/>
      <c r="C19" s="306"/>
      <c r="D19" s="304"/>
      <c r="E19" s="305"/>
      <c r="F19" s="296"/>
      <c r="G19" s="216">
        <f t="shared" si="1"/>
        <v>0</v>
      </c>
      <c r="H19" s="279">
        <f t="shared" si="2"/>
        <v>0</v>
      </c>
      <c r="I19" s="280"/>
      <c r="J19" s="202" t="e">
        <f>IF(I19=("Comisario"),(VLOOKUP(I19,'Simulador Piramide-Salarios'!$F$57:$J$74,5,0)),(IF(I19=("Inspector General"),(VLOOKUP(I19,'Simulador Piramide-Salarios'!$F$57:$J$74,5,0)),(IF(I19=("Subinspector"),(VLOOKUP(I19,'Simulador Piramide-Salarios'!$F$57:$J$74,5,0)),(IF(I19=("Inspector"),(VLOOKUP(I19,'Simulador Piramide-Salarios'!$F$57:$J$74,5,0)),(IF(I19=("Inspector Jefe"),(VLOOKUP(I19,'Simulador Piramide-Salarios'!$F$57:$J$74,5,0)),(IF((IF((VLOOKUP(I19,'Simulador Piramide-Salarios'!$F$57:$J$74,3,0))&gt;0,(VLOOKUP(I19,'Simulador Piramide-Salarios'!$F$57:$J$74,3,0)),(VLOOKUP(I19,'Simulador Piramide-Salarios'!$E$57:$J$74,5,0))))&gt;0,(IF((VLOOKUP(I19,'Simulador Piramide-Salarios'!$F$57:$J$74,3,0))&gt;0,(VLOOKUP(I19,'Simulador Piramide-Salarios'!$F$57:$J$74,3,0)),(VLOOKUP(I19,'Simulador Piramide-Salarios'!$E$57:$J$74,5,0)))),(VLOOKUP(I19,'Simulador Piramide-Salarios'!$D$57:$J$74,7,0)))))))))))))</f>
        <v>#N/A</v>
      </c>
      <c r="K19" s="200" t="e">
        <f t="shared" si="3"/>
        <v>#N/A</v>
      </c>
      <c r="L19" s="200" t="e">
        <f t="shared" si="4"/>
        <v>#N/A</v>
      </c>
      <c r="M19" s="211" t="e">
        <f t="shared" si="5"/>
        <v>#N/A</v>
      </c>
      <c r="N19" s="201" t="e">
        <f t="shared" si="6"/>
        <v>#N/A</v>
      </c>
      <c r="O19" s="198">
        <v>0</v>
      </c>
      <c r="P19" s="198">
        <v>0</v>
      </c>
      <c r="Q19" s="200" t="e">
        <f t="shared" si="7"/>
        <v>#N/A</v>
      </c>
      <c r="Z19" s="260"/>
    </row>
    <row r="20" spans="1:26" x14ac:dyDescent="0.25">
      <c r="A20" s="180">
        <f t="shared" si="0"/>
        <v>9</v>
      </c>
      <c r="B20" s="296"/>
      <c r="C20" s="306"/>
      <c r="D20" s="304"/>
      <c r="E20" s="305"/>
      <c r="F20" s="296"/>
      <c r="G20" s="216">
        <f t="shared" si="1"/>
        <v>0</v>
      </c>
      <c r="H20" s="279">
        <f t="shared" si="2"/>
        <v>0</v>
      </c>
      <c r="I20" s="280"/>
      <c r="J20" s="202" t="e">
        <f>IF(I20=("Comisario"),(VLOOKUP(I20,'Simulador Piramide-Salarios'!$F$57:$J$74,5,0)),(IF(I20=("Inspector General"),(VLOOKUP(I20,'Simulador Piramide-Salarios'!$F$57:$J$74,5,0)),(IF(I20=("Subinspector"),(VLOOKUP(I20,'Simulador Piramide-Salarios'!$F$57:$J$74,5,0)),(IF(I20=("Inspector"),(VLOOKUP(I20,'Simulador Piramide-Salarios'!$F$57:$J$74,5,0)),(IF(I20=("Inspector Jefe"),(VLOOKUP(I20,'Simulador Piramide-Salarios'!$F$57:$J$74,5,0)),(IF((IF((VLOOKUP(I20,'Simulador Piramide-Salarios'!$F$57:$J$74,3,0))&gt;0,(VLOOKUP(I20,'Simulador Piramide-Salarios'!$F$57:$J$74,3,0)),(VLOOKUP(I20,'Simulador Piramide-Salarios'!$E$57:$J$74,5,0))))&gt;0,(IF((VLOOKUP(I20,'Simulador Piramide-Salarios'!$F$57:$J$74,3,0))&gt;0,(VLOOKUP(I20,'Simulador Piramide-Salarios'!$F$57:$J$74,3,0)),(VLOOKUP(I20,'Simulador Piramide-Salarios'!$E$57:$J$74,5,0)))),(VLOOKUP(I20,'Simulador Piramide-Salarios'!$D$57:$J$74,7,0)))))))))))))</f>
        <v>#N/A</v>
      </c>
      <c r="K20" s="200" t="e">
        <f t="shared" si="3"/>
        <v>#N/A</v>
      </c>
      <c r="L20" s="200" t="e">
        <f t="shared" si="4"/>
        <v>#N/A</v>
      </c>
      <c r="M20" s="211" t="e">
        <f t="shared" si="5"/>
        <v>#N/A</v>
      </c>
      <c r="N20" s="201" t="e">
        <f t="shared" si="6"/>
        <v>#N/A</v>
      </c>
      <c r="O20" s="198">
        <v>0</v>
      </c>
      <c r="P20" s="198">
        <v>0</v>
      </c>
      <c r="Q20" s="200" t="e">
        <f t="shared" si="7"/>
        <v>#N/A</v>
      </c>
      <c r="Z20" s="260"/>
    </row>
    <row r="21" spans="1:26" x14ac:dyDescent="0.25">
      <c r="A21" s="180">
        <f t="shared" si="0"/>
        <v>10</v>
      </c>
      <c r="B21" s="296"/>
      <c r="C21" s="306"/>
      <c r="D21" s="304"/>
      <c r="E21" s="305"/>
      <c r="F21" s="296"/>
      <c r="G21" s="216">
        <f t="shared" si="1"/>
        <v>0</v>
      </c>
      <c r="H21" s="279">
        <f t="shared" si="2"/>
        <v>0</v>
      </c>
      <c r="I21" s="280"/>
      <c r="J21" s="202" t="e">
        <f>IF(I21=("Comisario"),(VLOOKUP(I21,'Simulador Piramide-Salarios'!$F$57:$J$74,5,0)),(IF(I21=("Inspector General"),(VLOOKUP(I21,'Simulador Piramide-Salarios'!$F$57:$J$74,5,0)),(IF(I21=("Subinspector"),(VLOOKUP(I21,'Simulador Piramide-Salarios'!$F$57:$J$74,5,0)),(IF(I21=("Inspector"),(VLOOKUP(I21,'Simulador Piramide-Salarios'!$F$57:$J$74,5,0)),(IF(I21=("Inspector Jefe"),(VLOOKUP(I21,'Simulador Piramide-Salarios'!$F$57:$J$74,5,0)),(IF((IF((VLOOKUP(I21,'Simulador Piramide-Salarios'!$F$57:$J$74,3,0))&gt;0,(VLOOKUP(I21,'Simulador Piramide-Salarios'!$F$57:$J$74,3,0)),(VLOOKUP(I21,'Simulador Piramide-Salarios'!$E$57:$J$74,5,0))))&gt;0,(IF((VLOOKUP(I21,'Simulador Piramide-Salarios'!$F$57:$J$74,3,0))&gt;0,(VLOOKUP(I21,'Simulador Piramide-Salarios'!$F$57:$J$74,3,0)),(VLOOKUP(I21,'Simulador Piramide-Salarios'!$E$57:$J$74,5,0)))),(VLOOKUP(I21,'Simulador Piramide-Salarios'!$D$57:$J$74,7,0)))))))))))))</f>
        <v>#N/A</v>
      </c>
      <c r="K21" s="200" t="e">
        <f t="shared" si="3"/>
        <v>#N/A</v>
      </c>
      <c r="L21" s="200" t="e">
        <f t="shared" si="4"/>
        <v>#N/A</v>
      </c>
      <c r="M21" s="211" t="e">
        <f t="shared" si="5"/>
        <v>#N/A</v>
      </c>
      <c r="N21" s="201" t="e">
        <f t="shared" si="6"/>
        <v>#N/A</v>
      </c>
      <c r="O21" s="198">
        <v>0</v>
      </c>
      <c r="P21" s="198">
        <v>0</v>
      </c>
      <c r="Q21" s="200" t="e">
        <f t="shared" si="7"/>
        <v>#N/A</v>
      </c>
      <c r="Z21" s="260"/>
    </row>
    <row r="22" spans="1:26" x14ac:dyDescent="0.25">
      <c r="A22" s="180">
        <f t="shared" si="0"/>
        <v>11</v>
      </c>
      <c r="B22" s="296"/>
      <c r="C22" s="306"/>
      <c r="D22" s="304"/>
      <c r="E22" s="305"/>
      <c r="F22" s="296"/>
      <c r="G22" s="216">
        <f t="shared" si="1"/>
        <v>0</v>
      </c>
      <c r="H22" s="279">
        <f t="shared" si="2"/>
        <v>0</v>
      </c>
      <c r="I22" s="280"/>
      <c r="J22" s="202" t="e">
        <f>IF(I22=("Comisario"),(VLOOKUP(I22,'Simulador Piramide-Salarios'!$F$57:$J$74,5,0)),(IF(I22=("Inspector General"),(VLOOKUP(I22,'Simulador Piramide-Salarios'!$F$57:$J$74,5,0)),(IF(I22=("Subinspector"),(VLOOKUP(I22,'Simulador Piramide-Salarios'!$F$57:$J$74,5,0)),(IF(I22=("Inspector"),(VLOOKUP(I22,'Simulador Piramide-Salarios'!$F$57:$J$74,5,0)),(IF(I22=("Inspector Jefe"),(VLOOKUP(I22,'Simulador Piramide-Salarios'!$F$57:$J$74,5,0)),(IF((IF((VLOOKUP(I22,'Simulador Piramide-Salarios'!$F$57:$J$74,3,0))&gt;0,(VLOOKUP(I22,'Simulador Piramide-Salarios'!$F$57:$J$74,3,0)),(VLOOKUP(I22,'Simulador Piramide-Salarios'!$E$57:$J$74,5,0))))&gt;0,(IF((VLOOKUP(I22,'Simulador Piramide-Salarios'!$F$57:$J$74,3,0))&gt;0,(VLOOKUP(I22,'Simulador Piramide-Salarios'!$F$57:$J$74,3,0)),(VLOOKUP(I22,'Simulador Piramide-Salarios'!$E$57:$J$74,5,0)))),(VLOOKUP(I22,'Simulador Piramide-Salarios'!$D$57:$J$74,7,0)))))))))))))</f>
        <v>#N/A</v>
      </c>
      <c r="K22" s="200" t="e">
        <f t="shared" si="3"/>
        <v>#N/A</v>
      </c>
      <c r="L22" s="200" t="e">
        <f t="shared" si="4"/>
        <v>#N/A</v>
      </c>
      <c r="M22" s="211" t="e">
        <f t="shared" si="5"/>
        <v>#N/A</v>
      </c>
      <c r="N22" s="201" t="e">
        <f t="shared" si="6"/>
        <v>#N/A</v>
      </c>
      <c r="O22" s="198">
        <v>0</v>
      </c>
      <c r="P22" s="198">
        <v>0</v>
      </c>
      <c r="Q22" s="200" t="e">
        <f t="shared" si="7"/>
        <v>#N/A</v>
      </c>
      <c r="Z22" s="260"/>
    </row>
    <row r="23" spans="1:26" x14ac:dyDescent="0.25">
      <c r="A23" s="180">
        <f t="shared" si="0"/>
        <v>12</v>
      </c>
      <c r="B23" s="296"/>
      <c r="C23" s="306"/>
      <c r="D23" s="304"/>
      <c r="E23" s="305"/>
      <c r="F23" s="296"/>
      <c r="G23" s="216">
        <f t="shared" si="1"/>
        <v>0</v>
      </c>
      <c r="H23" s="279">
        <f t="shared" si="2"/>
        <v>0</v>
      </c>
      <c r="I23" s="280"/>
      <c r="J23" s="202" t="e">
        <f>IF(I23=("Comisario"),(VLOOKUP(I23,'Simulador Piramide-Salarios'!$F$57:$J$74,5,0)),(IF(I23=("Inspector General"),(VLOOKUP(I23,'Simulador Piramide-Salarios'!$F$57:$J$74,5,0)),(IF(I23=("Subinspector"),(VLOOKUP(I23,'Simulador Piramide-Salarios'!$F$57:$J$74,5,0)),(IF(I23=("Inspector"),(VLOOKUP(I23,'Simulador Piramide-Salarios'!$F$57:$J$74,5,0)),(IF(I23=("Inspector Jefe"),(VLOOKUP(I23,'Simulador Piramide-Salarios'!$F$57:$J$74,5,0)),(IF((IF((VLOOKUP(I23,'Simulador Piramide-Salarios'!$F$57:$J$74,3,0))&gt;0,(VLOOKUP(I23,'Simulador Piramide-Salarios'!$F$57:$J$74,3,0)),(VLOOKUP(I23,'Simulador Piramide-Salarios'!$E$57:$J$74,5,0))))&gt;0,(IF((VLOOKUP(I23,'Simulador Piramide-Salarios'!$F$57:$J$74,3,0))&gt;0,(VLOOKUP(I23,'Simulador Piramide-Salarios'!$F$57:$J$74,3,0)),(VLOOKUP(I23,'Simulador Piramide-Salarios'!$E$57:$J$74,5,0)))),(VLOOKUP(I23,'Simulador Piramide-Salarios'!$D$57:$J$74,7,0)))))))))))))</f>
        <v>#N/A</v>
      </c>
      <c r="K23" s="200" t="e">
        <f t="shared" si="3"/>
        <v>#N/A</v>
      </c>
      <c r="L23" s="200" t="e">
        <f t="shared" si="4"/>
        <v>#N/A</v>
      </c>
      <c r="M23" s="211" t="e">
        <f t="shared" si="5"/>
        <v>#N/A</v>
      </c>
      <c r="N23" s="201" t="e">
        <f t="shared" si="6"/>
        <v>#N/A</v>
      </c>
      <c r="O23" s="198">
        <v>0</v>
      </c>
      <c r="P23" s="198">
        <v>0</v>
      </c>
      <c r="Q23" s="200" t="e">
        <f t="shared" si="7"/>
        <v>#N/A</v>
      </c>
      <c r="Z23" s="260"/>
    </row>
    <row r="24" spans="1:26" x14ac:dyDescent="0.25">
      <c r="A24" s="180">
        <f t="shared" si="0"/>
        <v>13</v>
      </c>
      <c r="B24" s="296"/>
      <c r="C24" s="306"/>
      <c r="D24" s="304"/>
      <c r="E24" s="305"/>
      <c r="F24" s="296"/>
      <c r="G24" s="216">
        <f t="shared" si="1"/>
        <v>0</v>
      </c>
      <c r="H24" s="279">
        <f t="shared" si="2"/>
        <v>0</v>
      </c>
      <c r="I24" s="280"/>
      <c r="J24" s="202" t="e">
        <f>IF(I24=("Comisario"),(VLOOKUP(I24,'Simulador Piramide-Salarios'!$F$57:$J$74,5,0)),(IF(I24=("Inspector General"),(VLOOKUP(I24,'Simulador Piramide-Salarios'!$F$57:$J$74,5,0)),(IF(I24=("Subinspector"),(VLOOKUP(I24,'Simulador Piramide-Salarios'!$F$57:$J$74,5,0)),(IF(I24=("Inspector"),(VLOOKUP(I24,'Simulador Piramide-Salarios'!$F$57:$J$74,5,0)),(IF(I24=("Inspector Jefe"),(VLOOKUP(I24,'Simulador Piramide-Salarios'!$F$57:$J$74,5,0)),(IF((IF((VLOOKUP(I24,'Simulador Piramide-Salarios'!$F$57:$J$74,3,0))&gt;0,(VLOOKUP(I24,'Simulador Piramide-Salarios'!$F$57:$J$74,3,0)),(VLOOKUP(I24,'Simulador Piramide-Salarios'!$E$57:$J$74,5,0))))&gt;0,(IF((VLOOKUP(I24,'Simulador Piramide-Salarios'!$F$57:$J$74,3,0))&gt;0,(VLOOKUP(I24,'Simulador Piramide-Salarios'!$F$57:$J$74,3,0)),(VLOOKUP(I24,'Simulador Piramide-Salarios'!$E$57:$J$74,5,0)))),(VLOOKUP(I24,'Simulador Piramide-Salarios'!$D$57:$J$74,7,0)))))))))))))</f>
        <v>#N/A</v>
      </c>
      <c r="K24" s="200" t="e">
        <f t="shared" si="3"/>
        <v>#N/A</v>
      </c>
      <c r="L24" s="200" t="e">
        <f t="shared" si="4"/>
        <v>#N/A</v>
      </c>
      <c r="M24" s="211" t="e">
        <f t="shared" si="5"/>
        <v>#N/A</v>
      </c>
      <c r="N24" s="201" t="e">
        <f t="shared" si="6"/>
        <v>#N/A</v>
      </c>
      <c r="O24" s="198">
        <v>0</v>
      </c>
      <c r="P24" s="198">
        <v>0</v>
      </c>
      <c r="Q24" s="200" t="e">
        <f t="shared" si="7"/>
        <v>#N/A</v>
      </c>
      <c r="Z24" s="260"/>
    </row>
    <row r="25" spans="1:26" x14ac:dyDescent="0.25">
      <c r="A25" s="180">
        <f t="shared" si="0"/>
        <v>14</v>
      </c>
      <c r="B25" s="296"/>
      <c r="C25" s="306"/>
      <c r="D25" s="304"/>
      <c r="E25" s="305"/>
      <c r="F25" s="296"/>
      <c r="G25" s="216">
        <f t="shared" si="1"/>
        <v>0</v>
      </c>
      <c r="H25" s="279">
        <f t="shared" si="2"/>
        <v>0</v>
      </c>
      <c r="I25" s="280"/>
      <c r="J25" s="202" t="e">
        <f>IF(I25=("Comisario"),(VLOOKUP(I25,'Simulador Piramide-Salarios'!$F$57:$J$74,5,0)),(IF(I25=("Inspector General"),(VLOOKUP(I25,'Simulador Piramide-Salarios'!$F$57:$J$74,5,0)),(IF(I25=("Subinspector"),(VLOOKUP(I25,'Simulador Piramide-Salarios'!$F$57:$J$74,5,0)),(IF(I25=("Inspector"),(VLOOKUP(I25,'Simulador Piramide-Salarios'!$F$57:$J$74,5,0)),(IF(I25=("Inspector Jefe"),(VLOOKUP(I25,'Simulador Piramide-Salarios'!$F$57:$J$74,5,0)),(IF((IF((VLOOKUP(I25,'Simulador Piramide-Salarios'!$F$57:$J$74,3,0))&gt;0,(VLOOKUP(I25,'Simulador Piramide-Salarios'!$F$57:$J$74,3,0)),(VLOOKUP(I25,'Simulador Piramide-Salarios'!$E$57:$J$74,5,0))))&gt;0,(IF((VLOOKUP(I25,'Simulador Piramide-Salarios'!$F$57:$J$74,3,0))&gt;0,(VLOOKUP(I25,'Simulador Piramide-Salarios'!$F$57:$J$74,3,0)),(VLOOKUP(I25,'Simulador Piramide-Salarios'!$E$57:$J$74,5,0)))),(VLOOKUP(I25,'Simulador Piramide-Salarios'!$D$57:$J$74,7,0)))))))))))))</f>
        <v>#N/A</v>
      </c>
      <c r="K25" s="200" t="e">
        <f t="shared" si="3"/>
        <v>#N/A</v>
      </c>
      <c r="L25" s="200" t="e">
        <f t="shared" si="4"/>
        <v>#N/A</v>
      </c>
      <c r="M25" s="211" t="e">
        <f t="shared" si="5"/>
        <v>#N/A</v>
      </c>
      <c r="N25" s="201" t="e">
        <f t="shared" si="6"/>
        <v>#N/A</v>
      </c>
      <c r="O25" s="198">
        <v>0</v>
      </c>
      <c r="P25" s="198">
        <v>0</v>
      </c>
      <c r="Q25" s="200" t="e">
        <f t="shared" si="7"/>
        <v>#N/A</v>
      </c>
      <c r="Z25" s="260"/>
    </row>
    <row r="26" spans="1:26" x14ac:dyDescent="0.25">
      <c r="A26" s="180">
        <f t="shared" si="0"/>
        <v>15</v>
      </c>
      <c r="B26" s="296"/>
      <c r="C26" s="306"/>
      <c r="D26" s="304"/>
      <c r="E26" s="305"/>
      <c r="F26" s="296"/>
      <c r="G26" s="216">
        <f t="shared" si="1"/>
        <v>0</v>
      </c>
      <c r="H26" s="279">
        <f t="shared" si="2"/>
        <v>0</v>
      </c>
      <c r="I26" s="280"/>
      <c r="J26" s="202" t="e">
        <f>IF(I26=("Comisario"),(VLOOKUP(I26,'Simulador Piramide-Salarios'!$F$57:$J$74,5,0)),(IF(I26=("Inspector General"),(VLOOKUP(I26,'Simulador Piramide-Salarios'!$F$57:$J$74,5,0)),(IF(I26=("Subinspector"),(VLOOKUP(I26,'Simulador Piramide-Salarios'!$F$57:$J$74,5,0)),(IF(I26=("Inspector"),(VLOOKUP(I26,'Simulador Piramide-Salarios'!$F$57:$J$74,5,0)),(IF(I26=("Inspector Jefe"),(VLOOKUP(I26,'Simulador Piramide-Salarios'!$F$57:$J$74,5,0)),(IF((IF((VLOOKUP(I26,'Simulador Piramide-Salarios'!$F$57:$J$74,3,0))&gt;0,(VLOOKUP(I26,'Simulador Piramide-Salarios'!$F$57:$J$74,3,0)),(VLOOKUP(I26,'Simulador Piramide-Salarios'!$E$57:$J$74,5,0))))&gt;0,(IF((VLOOKUP(I26,'Simulador Piramide-Salarios'!$F$57:$J$74,3,0))&gt;0,(VLOOKUP(I26,'Simulador Piramide-Salarios'!$F$57:$J$74,3,0)),(VLOOKUP(I26,'Simulador Piramide-Salarios'!$E$57:$J$74,5,0)))),(VLOOKUP(I26,'Simulador Piramide-Salarios'!$D$57:$J$74,7,0)))))))))))))</f>
        <v>#N/A</v>
      </c>
      <c r="K26" s="200" t="e">
        <f t="shared" si="3"/>
        <v>#N/A</v>
      </c>
      <c r="L26" s="200" t="e">
        <f t="shared" si="4"/>
        <v>#N/A</v>
      </c>
      <c r="M26" s="211" t="e">
        <f t="shared" si="5"/>
        <v>#N/A</v>
      </c>
      <c r="N26" s="201" t="e">
        <f t="shared" si="6"/>
        <v>#N/A</v>
      </c>
      <c r="O26" s="198">
        <v>0</v>
      </c>
      <c r="P26" s="198">
        <v>0</v>
      </c>
      <c r="Q26" s="200" t="e">
        <f t="shared" si="7"/>
        <v>#N/A</v>
      </c>
      <c r="Z26" s="260"/>
    </row>
    <row r="27" spans="1:26" x14ac:dyDescent="0.25">
      <c r="A27" s="180">
        <f t="shared" si="0"/>
        <v>16</v>
      </c>
      <c r="B27" s="296"/>
      <c r="C27" s="306"/>
      <c r="D27" s="304"/>
      <c r="E27" s="305"/>
      <c r="F27" s="296"/>
      <c r="G27" s="216">
        <f t="shared" si="1"/>
        <v>0</v>
      </c>
      <c r="H27" s="279">
        <f t="shared" si="2"/>
        <v>0</v>
      </c>
      <c r="I27" s="280"/>
      <c r="J27" s="202" t="e">
        <f>IF(I27=("Comisario"),(VLOOKUP(I27,'Simulador Piramide-Salarios'!$F$57:$J$74,5,0)),(IF(I27=("Inspector General"),(VLOOKUP(I27,'Simulador Piramide-Salarios'!$F$57:$J$74,5,0)),(IF(I27=("Subinspector"),(VLOOKUP(I27,'Simulador Piramide-Salarios'!$F$57:$J$74,5,0)),(IF(I27=("Inspector"),(VLOOKUP(I27,'Simulador Piramide-Salarios'!$F$57:$J$74,5,0)),(IF(I27=("Inspector Jefe"),(VLOOKUP(I27,'Simulador Piramide-Salarios'!$F$57:$J$74,5,0)),(IF((IF((VLOOKUP(I27,'Simulador Piramide-Salarios'!$F$57:$J$74,3,0))&gt;0,(VLOOKUP(I27,'Simulador Piramide-Salarios'!$F$57:$J$74,3,0)),(VLOOKUP(I27,'Simulador Piramide-Salarios'!$E$57:$J$74,5,0))))&gt;0,(IF((VLOOKUP(I27,'Simulador Piramide-Salarios'!$F$57:$J$74,3,0))&gt;0,(VLOOKUP(I27,'Simulador Piramide-Salarios'!$F$57:$J$74,3,0)),(VLOOKUP(I27,'Simulador Piramide-Salarios'!$E$57:$J$74,5,0)))),(VLOOKUP(I27,'Simulador Piramide-Salarios'!$D$57:$J$74,7,0)))))))))))))</f>
        <v>#N/A</v>
      </c>
      <c r="K27" s="200" t="e">
        <f t="shared" si="3"/>
        <v>#N/A</v>
      </c>
      <c r="L27" s="200" t="e">
        <f t="shared" si="4"/>
        <v>#N/A</v>
      </c>
      <c r="M27" s="211" t="e">
        <f t="shared" si="5"/>
        <v>#N/A</v>
      </c>
      <c r="N27" s="201" t="e">
        <f t="shared" si="6"/>
        <v>#N/A</v>
      </c>
      <c r="O27" s="198">
        <v>0</v>
      </c>
      <c r="P27" s="198">
        <v>0</v>
      </c>
      <c r="Q27" s="200" t="e">
        <f t="shared" si="7"/>
        <v>#N/A</v>
      </c>
      <c r="Z27" s="260"/>
    </row>
    <row r="28" spans="1:26" x14ac:dyDescent="0.25">
      <c r="A28" s="180">
        <f t="shared" si="0"/>
        <v>17</v>
      </c>
      <c r="B28" s="296"/>
      <c r="C28" s="306"/>
      <c r="D28" s="304"/>
      <c r="E28" s="305"/>
      <c r="F28" s="296"/>
      <c r="G28" s="216">
        <f t="shared" si="1"/>
        <v>0</v>
      </c>
      <c r="H28" s="279">
        <f t="shared" si="2"/>
        <v>0</v>
      </c>
      <c r="I28" s="280"/>
      <c r="J28" s="202" t="e">
        <f>IF(I28=("Comisario"),(VLOOKUP(I28,'Simulador Piramide-Salarios'!$F$57:$J$74,5,0)),(IF(I28=("Inspector General"),(VLOOKUP(I28,'Simulador Piramide-Salarios'!$F$57:$J$74,5,0)),(IF(I28=("Subinspector"),(VLOOKUP(I28,'Simulador Piramide-Salarios'!$F$57:$J$74,5,0)),(IF(I28=("Inspector"),(VLOOKUP(I28,'Simulador Piramide-Salarios'!$F$57:$J$74,5,0)),(IF(I28=("Inspector Jefe"),(VLOOKUP(I28,'Simulador Piramide-Salarios'!$F$57:$J$74,5,0)),(IF((IF((VLOOKUP(I28,'Simulador Piramide-Salarios'!$F$57:$J$74,3,0))&gt;0,(VLOOKUP(I28,'Simulador Piramide-Salarios'!$F$57:$J$74,3,0)),(VLOOKUP(I28,'Simulador Piramide-Salarios'!$E$57:$J$74,5,0))))&gt;0,(IF((VLOOKUP(I28,'Simulador Piramide-Salarios'!$F$57:$J$74,3,0))&gt;0,(VLOOKUP(I28,'Simulador Piramide-Salarios'!$F$57:$J$74,3,0)),(VLOOKUP(I28,'Simulador Piramide-Salarios'!$E$57:$J$74,5,0)))),(VLOOKUP(I28,'Simulador Piramide-Salarios'!$D$57:$J$74,7,0)))))))))))))</f>
        <v>#N/A</v>
      </c>
      <c r="K28" s="200" t="e">
        <f t="shared" si="3"/>
        <v>#N/A</v>
      </c>
      <c r="L28" s="200" t="e">
        <f t="shared" si="4"/>
        <v>#N/A</v>
      </c>
      <c r="M28" s="211" t="e">
        <f t="shared" si="5"/>
        <v>#N/A</v>
      </c>
      <c r="N28" s="201" t="e">
        <f t="shared" si="6"/>
        <v>#N/A</v>
      </c>
      <c r="O28" s="198">
        <v>0</v>
      </c>
      <c r="P28" s="198">
        <v>0</v>
      </c>
      <c r="Q28" s="200" t="e">
        <f t="shared" si="7"/>
        <v>#N/A</v>
      </c>
      <c r="Z28" s="260"/>
    </row>
    <row r="29" spans="1:26" x14ac:dyDescent="0.25">
      <c r="A29" s="180">
        <f t="shared" si="0"/>
        <v>18</v>
      </c>
      <c r="B29" s="296"/>
      <c r="C29" s="306"/>
      <c r="D29" s="304"/>
      <c r="E29" s="305"/>
      <c r="F29" s="296"/>
      <c r="G29" s="216">
        <f t="shared" si="1"/>
        <v>0</v>
      </c>
      <c r="H29" s="279">
        <f t="shared" si="2"/>
        <v>0</v>
      </c>
      <c r="I29" s="280"/>
      <c r="J29" s="202" t="e">
        <f>IF(I29=("Comisario"),(VLOOKUP(I29,'Simulador Piramide-Salarios'!$F$57:$J$74,5,0)),(IF(I29=("Inspector General"),(VLOOKUP(I29,'Simulador Piramide-Salarios'!$F$57:$J$74,5,0)),(IF(I29=("Subinspector"),(VLOOKUP(I29,'Simulador Piramide-Salarios'!$F$57:$J$74,5,0)),(IF(I29=("Inspector"),(VLOOKUP(I29,'Simulador Piramide-Salarios'!$F$57:$J$74,5,0)),(IF(I29=("Inspector Jefe"),(VLOOKUP(I29,'Simulador Piramide-Salarios'!$F$57:$J$74,5,0)),(IF((IF((VLOOKUP(I29,'Simulador Piramide-Salarios'!$F$57:$J$74,3,0))&gt;0,(VLOOKUP(I29,'Simulador Piramide-Salarios'!$F$57:$J$74,3,0)),(VLOOKUP(I29,'Simulador Piramide-Salarios'!$E$57:$J$74,5,0))))&gt;0,(IF((VLOOKUP(I29,'Simulador Piramide-Salarios'!$F$57:$J$74,3,0))&gt;0,(VLOOKUP(I29,'Simulador Piramide-Salarios'!$F$57:$J$74,3,0)),(VLOOKUP(I29,'Simulador Piramide-Salarios'!$E$57:$J$74,5,0)))),(VLOOKUP(I29,'Simulador Piramide-Salarios'!$D$57:$J$74,7,0)))))))))))))</f>
        <v>#N/A</v>
      </c>
      <c r="K29" s="200" t="e">
        <f t="shared" si="3"/>
        <v>#N/A</v>
      </c>
      <c r="L29" s="200" t="e">
        <f t="shared" si="4"/>
        <v>#N/A</v>
      </c>
      <c r="M29" s="211" t="e">
        <f t="shared" si="5"/>
        <v>#N/A</v>
      </c>
      <c r="N29" s="201" t="e">
        <f t="shared" si="6"/>
        <v>#N/A</v>
      </c>
      <c r="O29" s="198">
        <v>0</v>
      </c>
      <c r="P29" s="198">
        <v>0</v>
      </c>
      <c r="Q29" s="200" t="e">
        <f t="shared" si="7"/>
        <v>#N/A</v>
      </c>
      <c r="Z29" s="260"/>
    </row>
    <row r="30" spans="1:26" x14ac:dyDescent="0.25">
      <c r="A30" s="180">
        <f t="shared" si="0"/>
        <v>19</v>
      </c>
      <c r="B30" s="296"/>
      <c r="C30" s="306"/>
      <c r="D30" s="304"/>
      <c r="E30" s="305"/>
      <c r="F30" s="296"/>
      <c r="G30" s="216">
        <f t="shared" si="1"/>
        <v>0</v>
      </c>
      <c r="H30" s="279">
        <f t="shared" si="2"/>
        <v>0</v>
      </c>
      <c r="I30" s="280"/>
      <c r="J30" s="202" t="e">
        <f>IF(I30=("Comisario"),(VLOOKUP(I30,'Simulador Piramide-Salarios'!$F$57:$J$74,5,0)),(IF(I30=("Inspector General"),(VLOOKUP(I30,'Simulador Piramide-Salarios'!$F$57:$J$74,5,0)),(IF(I30=("Subinspector"),(VLOOKUP(I30,'Simulador Piramide-Salarios'!$F$57:$J$74,5,0)),(IF(I30=("Inspector"),(VLOOKUP(I30,'Simulador Piramide-Salarios'!$F$57:$J$74,5,0)),(IF(I30=("Inspector Jefe"),(VLOOKUP(I30,'Simulador Piramide-Salarios'!$F$57:$J$74,5,0)),(IF((IF((VLOOKUP(I30,'Simulador Piramide-Salarios'!$F$57:$J$74,3,0))&gt;0,(VLOOKUP(I30,'Simulador Piramide-Salarios'!$F$57:$J$74,3,0)),(VLOOKUP(I30,'Simulador Piramide-Salarios'!$E$57:$J$74,5,0))))&gt;0,(IF((VLOOKUP(I30,'Simulador Piramide-Salarios'!$F$57:$J$74,3,0))&gt;0,(VLOOKUP(I30,'Simulador Piramide-Salarios'!$F$57:$J$74,3,0)),(VLOOKUP(I30,'Simulador Piramide-Salarios'!$E$57:$J$74,5,0)))),(VLOOKUP(I30,'Simulador Piramide-Salarios'!$D$57:$J$74,7,0)))))))))))))</f>
        <v>#N/A</v>
      </c>
      <c r="K30" s="200" t="e">
        <f t="shared" si="3"/>
        <v>#N/A</v>
      </c>
      <c r="L30" s="200" t="e">
        <f t="shared" si="4"/>
        <v>#N/A</v>
      </c>
      <c r="M30" s="211" t="e">
        <f t="shared" si="5"/>
        <v>#N/A</v>
      </c>
      <c r="N30" s="201" t="e">
        <f t="shared" si="6"/>
        <v>#N/A</v>
      </c>
      <c r="O30" s="198">
        <v>0</v>
      </c>
      <c r="P30" s="198">
        <v>0</v>
      </c>
      <c r="Q30" s="200" t="e">
        <f t="shared" si="7"/>
        <v>#N/A</v>
      </c>
      <c r="Z30" s="260"/>
    </row>
    <row r="31" spans="1:26" x14ac:dyDescent="0.25">
      <c r="A31" s="180">
        <f t="shared" si="0"/>
        <v>20</v>
      </c>
      <c r="B31" s="296"/>
      <c r="C31" s="306"/>
      <c r="D31" s="304"/>
      <c r="E31" s="305"/>
      <c r="F31" s="296"/>
      <c r="G31" s="216">
        <f t="shared" si="1"/>
        <v>0</v>
      </c>
      <c r="H31" s="279">
        <f t="shared" si="2"/>
        <v>0</v>
      </c>
      <c r="I31" s="280"/>
      <c r="J31" s="202" t="e">
        <f>IF(I31=("Comisario"),(VLOOKUP(I31,'Simulador Piramide-Salarios'!$F$57:$J$74,5,0)),(IF(I31=("Inspector General"),(VLOOKUP(I31,'Simulador Piramide-Salarios'!$F$57:$J$74,5,0)),(IF(I31=("Subinspector"),(VLOOKUP(I31,'Simulador Piramide-Salarios'!$F$57:$J$74,5,0)),(IF(I31=("Inspector"),(VLOOKUP(I31,'Simulador Piramide-Salarios'!$F$57:$J$74,5,0)),(IF(I31=("Inspector Jefe"),(VLOOKUP(I31,'Simulador Piramide-Salarios'!$F$57:$J$74,5,0)),(IF((IF((VLOOKUP(I31,'Simulador Piramide-Salarios'!$F$57:$J$74,3,0))&gt;0,(VLOOKUP(I31,'Simulador Piramide-Salarios'!$F$57:$J$74,3,0)),(VLOOKUP(I31,'Simulador Piramide-Salarios'!$E$57:$J$74,5,0))))&gt;0,(IF((VLOOKUP(I31,'Simulador Piramide-Salarios'!$F$57:$J$74,3,0))&gt;0,(VLOOKUP(I31,'Simulador Piramide-Salarios'!$F$57:$J$74,3,0)),(VLOOKUP(I31,'Simulador Piramide-Salarios'!$E$57:$J$74,5,0)))),(VLOOKUP(I31,'Simulador Piramide-Salarios'!$D$57:$J$74,7,0)))))))))))))</f>
        <v>#N/A</v>
      </c>
      <c r="K31" s="200" t="e">
        <f t="shared" si="3"/>
        <v>#N/A</v>
      </c>
      <c r="L31" s="200" t="e">
        <f t="shared" si="4"/>
        <v>#N/A</v>
      </c>
      <c r="M31" s="211" t="e">
        <f t="shared" si="5"/>
        <v>#N/A</v>
      </c>
      <c r="N31" s="201" t="e">
        <f t="shared" si="6"/>
        <v>#N/A</v>
      </c>
      <c r="O31" s="198">
        <v>0</v>
      </c>
      <c r="P31" s="198">
        <v>0</v>
      </c>
      <c r="Q31" s="200" t="e">
        <f t="shared" si="7"/>
        <v>#N/A</v>
      </c>
      <c r="Z31" s="260"/>
    </row>
    <row r="32" spans="1:26" x14ac:dyDescent="0.25">
      <c r="A32" s="180">
        <f t="shared" si="0"/>
        <v>21</v>
      </c>
      <c r="B32" s="296"/>
      <c r="C32" s="306"/>
      <c r="D32" s="304"/>
      <c r="E32" s="305"/>
      <c r="F32" s="296"/>
      <c r="G32" s="216">
        <f t="shared" si="1"/>
        <v>0</v>
      </c>
      <c r="H32" s="279">
        <f t="shared" si="2"/>
        <v>0</v>
      </c>
      <c r="I32" s="280"/>
      <c r="J32" s="202" t="e">
        <f>IF(I32=("Comisario"),(VLOOKUP(I32,'Simulador Piramide-Salarios'!$F$57:$J$74,5,0)),(IF(I32=("Inspector General"),(VLOOKUP(I32,'Simulador Piramide-Salarios'!$F$57:$J$74,5,0)),(IF(I32=("Subinspector"),(VLOOKUP(I32,'Simulador Piramide-Salarios'!$F$57:$J$74,5,0)),(IF(I32=("Inspector"),(VLOOKUP(I32,'Simulador Piramide-Salarios'!$F$57:$J$74,5,0)),(IF(I32=("Inspector Jefe"),(VLOOKUP(I32,'Simulador Piramide-Salarios'!$F$57:$J$74,5,0)),(IF((IF((VLOOKUP(I32,'Simulador Piramide-Salarios'!$F$57:$J$74,3,0))&gt;0,(VLOOKUP(I32,'Simulador Piramide-Salarios'!$F$57:$J$74,3,0)),(VLOOKUP(I32,'Simulador Piramide-Salarios'!$E$57:$J$74,5,0))))&gt;0,(IF((VLOOKUP(I32,'Simulador Piramide-Salarios'!$F$57:$J$74,3,0))&gt;0,(VLOOKUP(I32,'Simulador Piramide-Salarios'!$F$57:$J$74,3,0)),(VLOOKUP(I32,'Simulador Piramide-Salarios'!$E$57:$J$74,5,0)))),(VLOOKUP(I32,'Simulador Piramide-Salarios'!$D$57:$J$74,7,0)))))))))))))</f>
        <v>#N/A</v>
      </c>
      <c r="K32" s="200" t="e">
        <f t="shared" si="3"/>
        <v>#N/A</v>
      </c>
      <c r="L32" s="200" t="e">
        <f t="shared" si="4"/>
        <v>#N/A</v>
      </c>
      <c r="M32" s="211" t="e">
        <f t="shared" si="5"/>
        <v>#N/A</v>
      </c>
      <c r="N32" s="201" t="e">
        <f t="shared" si="6"/>
        <v>#N/A</v>
      </c>
      <c r="O32" s="198">
        <v>0</v>
      </c>
      <c r="P32" s="198">
        <v>0</v>
      </c>
      <c r="Q32" s="200" t="e">
        <f t="shared" si="7"/>
        <v>#N/A</v>
      </c>
      <c r="Z32" s="260"/>
    </row>
    <row r="33" spans="1:26" x14ac:dyDescent="0.25">
      <c r="A33" s="180">
        <f t="shared" si="0"/>
        <v>22</v>
      </c>
      <c r="B33" s="296"/>
      <c r="C33" s="306"/>
      <c r="D33" s="304"/>
      <c r="E33" s="305"/>
      <c r="F33" s="296"/>
      <c r="G33" s="216">
        <f t="shared" si="1"/>
        <v>0</v>
      </c>
      <c r="H33" s="279">
        <f t="shared" si="2"/>
        <v>0</v>
      </c>
      <c r="I33" s="280"/>
      <c r="J33" s="202" t="e">
        <f>IF(I33=("Comisario"),(VLOOKUP(I33,'Simulador Piramide-Salarios'!$F$57:$J$74,5,0)),(IF(I33=("Inspector General"),(VLOOKUP(I33,'Simulador Piramide-Salarios'!$F$57:$J$74,5,0)),(IF(I33=("Subinspector"),(VLOOKUP(I33,'Simulador Piramide-Salarios'!$F$57:$J$74,5,0)),(IF(I33=("Inspector"),(VLOOKUP(I33,'Simulador Piramide-Salarios'!$F$57:$J$74,5,0)),(IF(I33=("Inspector Jefe"),(VLOOKUP(I33,'Simulador Piramide-Salarios'!$F$57:$J$74,5,0)),(IF((IF((VLOOKUP(I33,'Simulador Piramide-Salarios'!$F$57:$J$74,3,0))&gt;0,(VLOOKUP(I33,'Simulador Piramide-Salarios'!$F$57:$J$74,3,0)),(VLOOKUP(I33,'Simulador Piramide-Salarios'!$E$57:$J$74,5,0))))&gt;0,(IF((VLOOKUP(I33,'Simulador Piramide-Salarios'!$F$57:$J$74,3,0))&gt;0,(VLOOKUP(I33,'Simulador Piramide-Salarios'!$F$57:$J$74,3,0)),(VLOOKUP(I33,'Simulador Piramide-Salarios'!$E$57:$J$74,5,0)))),(VLOOKUP(I33,'Simulador Piramide-Salarios'!$D$57:$J$74,7,0)))))))))))))</f>
        <v>#N/A</v>
      </c>
      <c r="K33" s="200" t="e">
        <f t="shared" si="3"/>
        <v>#N/A</v>
      </c>
      <c r="L33" s="200" t="e">
        <f t="shared" si="4"/>
        <v>#N/A</v>
      </c>
      <c r="M33" s="211" t="e">
        <f t="shared" si="5"/>
        <v>#N/A</v>
      </c>
      <c r="N33" s="201" t="e">
        <f t="shared" si="6"/>
        <v>#N/A</v>
      </c>
      <c r="O33" s="198">
        <v>0</v>
      </c>
      <c r="P33" s="198">
        <v>0</v>
      </c>
      <c r="Q33" s="200" t="e">
        <f t="shared" si="7"/>
        <v>#N/A</v>
      </c>
      <c r="Z33" s="260"/>
    </row>
    <row r="34" spans="1:26" x14ac:dyDescent="0.25">
      <c r="A34" s="180">
        <f t="shared" si="0"/>
        <v>23</v>
      </c>
      <c r="B34" s="296"/>
      <c r="C34" s="306"/>
      <c r="D34" s="304"/>
      <c r="E34" s="305"/>
      <c r="F34" s="296"/>
      <c r="G34" s="216">
        <f t="shared" si="1"/>
        <v>0</v>
      </c>
      <c r="H34" s="279">
        <f t="shared" si="2"/>
        <v>0</v>
      </c>
      <c r="I34" s="280"/>
      <c r="J34" s="202" t="e">
        <f>IF(I34=("Comisario"),(VLOOKUP(I34,'Simulador Piramide-Salarios'!$F$57:$J$74,5,0)),(IF(I34=("Inspector General"),(VLOOKUP(I34,'Simulador Piramide-Salarios'!$F$57:$J$74,5,0)),(IF(I34=("Subinspector"),(VLOOKUP(I34,'Simulador Piramide-Salarios'!$F$57:$J$74,5,0)),(IF(I34=("Inspector"),(VLOOKUP(I34,'Simulador Piramide-Salarios'!$F$57:$J$74,5,0)),(IF(I34=("Inspector Jefe"),(VLOOKUP(I34,'Simulador Piramide-Salarios'!$F$57:$J$74,5,0)),(IF((IF((VLOOKUP(I34,'Simulador Piramide-Salarios'!$F$57:$J$74,3,0))&gt;0,(VLOOKUP(I34,'Simulador Piramide-Salarios'!$F$57:$J$74,3,0)),(VLOOKUP(I34,'Simulador Piramide-Salarios'!$E$57:$J$74,5,0))))&gt;0,(IF((VLOOKUP(I34,'Simulador Piramide-Salarios'!$F$57:$J$74,3,0))&gt;0,(VLOOKUP(I34,'Simulador Piramide-Salarios'!$F$57:$J$74,3,0)),(VLOOKUP(I34,'Simulador Piramide-Salarios'!$E$57:$J$74,5,0)))),(VLOOKUP(I34,'Simulador Piramide-Salarios'!$D$57:$J$74,7,0)))))))))))))</f>
        <v>#N/A</v>
      </c>
      <c r="K34" s="200" t="e">
        <f t="shared" si="3"/>
        <v>#N/A</v>
      </c>
      <c r="L34" s="200" t="e">
        <f t="shared" si="4"/>
        <v>#N/A</v>
      </c>
      <c r="M34" s="211" t="e">
        <f t="shared" si="5"/>
        <v>#N/A</v>
      </c>
      <c r="N34" s="201" t="e">
        <f t="shared" si="6"/>
        <v>#N/A</v>
      </c>
      <c r="O34" s="198">
        <v>0</v>
      </c>
      <c r="P34" s="198">
        <v>0</v>
      </c>
      <c r="Q34" s="200" t="e">
        <f t="shared" si="7"/>
        <v>#N/A</v>
      </c>
      <c r="Z34" s="260"/>
    </row>
    <row r="35" spans="1:26" x14ac:dyDescent="0.25">
      <c r="A35" s="180">
        <f t="shared" si="0"/>
        <v>24</v>
      </c>
      <c r="B35" s="296"/>
      <c r="C35" s="306"/>
      <c r="D35" s="304"/>
      <c r="E35" s="305"/>
      <c r="F35" s="296"/>
      <c r="G35" s="216">
        <f t="shared" si="1"/>
        <v>0</v>
      </c>
      <c r="H35" s="279">
        <f t="shared" si="2"/>
        <v>0</v>
      </c>
      <c r="I35" s="280"/>
      <c r="J35" s="202" t="e">
        <f>IF(I35=("Comisario"),(VLOOKUP(I35,'Simulador Piramide-Salarios'!$F$57:$J$74,5,0)),(IF(I35=("Inspector General"),(VLOOKUP(I35,'Simulador Piramide-Salarios'!$F$57:$J$74,5,0)),(IF(I35=("Subinspector"),(VLOOKUP(I35,'Simulador Piramide-Salarios'!$F$57:$J$74,5,0)),(IF(I35=("Inspector"),(VLOOKUP(I35,'Simulador Piramide-Salarios'!$F$57:$J$74,5,0)),(IF(I35=("Inspector Jefe"),(VLOOKUP(I35,'Simulador Piramide-Salarios'!$F$57:$J$74,5,0)),(IF((IF((VLOOKUP(I35,'Simulador Piramide-Salarios'!$F$57:$J$74,3,0))&gt;0,(VLOOKUP(I35,'Simulador Piramide-Salarios'!$F$57:$J$74,3,0)),(VLOOKUP(I35,'Simulador Piramide-Salarios'!$E$57:$J$74,5,0))))&gt;0,(IF((VLOOKUP(I35,'Simulador Piramide-Salarios'!$F$57:$J$74,3,0))&gt;0,(VLOOKUP(I35,'Simulador Piramide-Salarios'!$F$57:$J$74,3,0)),(VLOOKUP(I35,'Simulador Piramide-Salarios'!$E$57:$J$74,5,0)))),(VLOOKUP(I35,'Simulador Piramide-Salarios'!$D$57:$J$74,7,0)))))))))))))</f>
        <v>#N/A</v>
      </c>
      <c r="K35" s="200" t="e">
        <f t="shared" si="3"/>
        <v>#N/A</v>
      </c>
      <c r="L35" s="200" t="e">
        <f t="shared" si="4"/>
        <v>#N/A</v>
      </c>
      <c r="M35" s="211" t="e">
        <f t="shared" si="5"/>
        <v>#N/A</v>
      </c>
      <c r="N35" s="201" t="e">
        <f t="shared" si="6"/>
        <v>#N/A</v>
      </c>
      <c r="O35" s="198">
        <v>0</v>
      </c>
      <c r="P35" s="198">
        <v>0</v>
      </c>
      <c r="Q35" s="200" t="e">
        <f t="shared" si="7"/>
        <v>#N/A</v>
      </c>
      <c r="Z35" s="260"/>
    </row>
    <row r="36" spans="1:26" x14ac:dyDescent="0.25">
      <c r="A36" s="180">
        <f t="shared" si="0"/>
        <v>25</v>
      </c>
      <c r="B36" s="296"/>
      <c r="C36" s="306"/>
      <c r="D36" s="304"/>
      <c r="E36" s="305"/>
      <c r="F36" s="296"/>
      <c r="G36" s="216">
        <f t="shared" si="1"/>
        <v>0</v>
      </c>
      <c r="H36" s="279">
        <f t="shared" si="2"/>
        <v>0</v>
      </c>
      <c r="I36" s="280"/>
      <c r="J36" s="202" t="e">
        <f>IF(I36=("Comisario"),(VLOOKUP(I36,'Simulador Piramide-Salarios'!$F$57:$J$74,5,0)),(IF(I36=("Inspector General"),(VLOOKUP(I36,'Simulador Piramide-Salarios'!$F$57:$J$74,5,0)),(IF(I36=("Subinspector"),(VLOOKUP(I36,'Simulador Piramide-Salarios'!$F$57:$J$74,5,0)),(IF(I36=("Inspector"),(VLOOKUP(I36,'Simulador Piramide-Salarios'!$F$57:$J$74,5,0)),(IF(I36=("Inspector Jefe"),(VLOOKUP(I36,'Simulador Piramide-Salarios'!$F$57:$J$74,5,0)),(IF((IF((VLOOKUP(I36,'Simulador Piramide-Salarios'!$F$57:$J$74,3,0))&gt;0,(VLOOKUP(I36,'Simulador Piramide-Salarios'!$F$57:$J$74,3,0)),(VLOOKUP(I36,'Simulador Piramide-Salarios'!$E$57:$J$74,5,0))))&gt;0,(IF((VLOOKUP(I36,'Simulador Piramide-Salarios'!$F$57:$J$74,3,0))&gt;0,(VLOOKUP(I36,'Simulador Piramide-Salarios'!$F$57:$J$74,3,0)),(VLOOKUP(I36,'Simulador Piramide-Salarios'!$E$57:$J$74,5,0)))),(VLOOKUP(I36,'Simulador Piramide-Salarios'!$D$57:$J$74,7,0)))))))))))))</f>
        <v>#N/A</v>
      </c>
      <c r="K36" s="200" t="e">
        <f t="shared" si="3"/>
        <v>#N/A</v>
      </c>
      <c r="L36" s="200" t="e">
        <f t="shared" si="4"/>
        <v>#N/A</v>
      </c>
      <c r="M36" s="211" t="e">
        <f t="shared" si="5"/>
        <v>#N/A</v>
      </c>
      <c r="N36" s="201" t="e">
        <f t="shared" si="6"/>
        <v>#N/A</v>
      </c>
      <c r="O36" s="198">
        <v>0</v>
      </c>
      <c r="P36" s="198">
        <v>0</v>
      </c>
      <c r="Q36" s="200" t="e">
        <f t="shared" si="7"/>
        <v>#N/A</v>
      </c>
      <c r="Z36" s="260"/>
    </row>
    <row r="37" spans="1:26" x14ac:dyDescent="0.25">
      <c r="A37" s="180">
        <f t="shared" si="0"/>
        <v>26</v>
      </c>
      <c r="B37" s="296"/>
      <c r="C37" s="306"/>
      <c r="D37" s="304"/>
      <c r="E37" s="305"/>
      <c r="F37" s="296"/>
      <c r="G37" s="216">
        <f t="shared" si="1"/>
        <v>0</v>
      </c>
      <c r="H37" s="279">
        <f t="shared" si="2"/>
        <v>0</v>
      </c>
      <c r="I37" s="280"/>
      <c r="J37" s="202" t="e">
        <f>IF(I37=("Comisario"),(VLOOKUP(I37,'Simulador Piramide-Salarios'!$F$57:$J$74,5,0)),(IF(I37=("Inspector General"),(VLOOKUP(I37,'Simulador Piramide-Salarios'!$F$57:$J$74,5,0)),(IF(I37=("Subinspector"),(VLOOKUP(I37,'Simulador Piramide-Salarios'!$F$57:$J$74,5,0)),(IF(I37=("Inspector"),(VLOOKUP(I37,'Simulador Piramide-Salarios'!$F$57:$J$74,5,0)),(IF(I37=("Inspector Jefe"),(VLOOKUP(I37,'Simulador Piramide-Salarios'!$F$57:$J$74,5,0)),(IF((IF((VLOOKUP(I37,'Simulador Piramide-Salarios'!$F$57:$J$74,3,0))&gt;0,(VLOOKUP(I37,'Simulador Piramide-Salarios'!$F$57:$J$74,3,0)),(VLOOKUP(I37,'Simulador Piramide-Salarios'!$E$57:$J$74,5,0))))&gt;0,(IF((VLOOKUP(I37,'Simulador Piramide-Salarios'!$F$57:$J$74,3,0))&gt;0,(VLOOKUP(I37,'Simulador Piramide-Salarios'!$F$57:$J$74,3,0)),(VLOOKUP(I37,'Simulador Piramide-Salarios'!$E$57:$J$74,5,0)))),(VLOOKUP(I37,'Simulador Piramide-Salarios'!$D$57:$J$74,7,0)))))))))))))</f>
        <v>#N/A</v>
      </c>
      <c r="K37" s="200" t="e">
        <f t="shared" si="3"/>
        <v>#N/A</v>
      </c>
      <c r="L37" s="200" t="e">
        <f t="shared" si="4"/>
        <v>#N/A</v>
      </c>
      <c r="M37" s="211" t="e">
        <f t="shared" si="5"/>
        <v>#N/A</v>
      </c>
      <c r="N37" s="201" t="e">
        <f t="shared" si="6"/>
        <v>#N/A</v>
      </c>
      <c r="O37" s="198">
        <v>0</v>
      </c>
      <c r="P37" s="198">
        <v>0</v>
      </c>
      <c r="Q37" s="200" t="e">
        <f t="shared" si="7"/>
        <v>#N/A</v>
      </c>
      <c r="Z37" s="260"/>
    </row>
    <row r="38" spans="1:26" x14ac:dyDescent="0.25">
      <c r="A38" s="180">
        <f t="shared" si="0"/>
        <v>27</v>
      </c>
      <c r="B38" s="296"/>
      <c r="C38" s="306"/>
      <c r="D38" s="304"/>
      <c r="E38" s="305"/>
      <c r="F38" s="296"/>
      <c r="G38" s="216">
        <f t="shared" si="1"/>
        <v>0</v>
      </c>
      <c r="H38" s="279">
        <f t="shared" si="2"/>
        <v>0</v>
      </c>
      <c r="I38" s="280"/>
      <c r="J38" s="202" t="e">
        <f>IF(I38=("Comisario"),(VLOOKUP(I38,'Simulador Piramide-Salarios'!$F$57:$J$74,5,0)),(IF(I38=("Inspector General"),(VLOOKUP(I38,'Simulador Piramide-Salarios'!$F$57:$J$74,5,0)),(IF(I38=("Subinspector"),(VLOOKUP(I38,'Simulador Piramide-Salarios'!$F$57:$J$74,5,0)),(IF(I38=("Inspector"),(VLOOKUP(I38,'Simulador Piramide-Salarios'!$F$57:$J$74,5,0)),(IF(I38=("Inspector Jefe"),(VLOOKUP(I38,'Simulador Piramide-Salarios'!$F$57:$J$74,5,0)),(IF((IF((VLOOKUP(I38,'Simulador Piramide-Salarios'!$F$57:$J$74,3,0))&gt;0,(VLOOKUP(I38,'Simulador Piramide-Salarios'!$F$57:$J$74,3,0)),(VLOOKUP(I38,'Simulador Piramide-Salarios'!$E$57:$J$74,5,0))))&gt;0,(IF((VLOOKUP(I38,'Simulador Piramide-Salarios'!$F$57:$J$74,3,0))&gt;0,(VLOOKUP(I38,'Simulador Piramide-Salarios'!$F$57:$J$74,3,0)),(VLOOKUP(I38,'Simulador Piramide-Salarios'!$E$57:$J$74,5,0)))),(VLOOKUP(I38,'Simulador Piramide-Salarios'!$D$57:$J$74,7,0)))))))))))))</f>
        <v>#N/A</v>
      </c>
      <c r="K38" s="200" t="e">
        <f t="shared" si="3"/>
        <v>#N/A</v>
      </c>
      <c r="L38" s="200" t="e">
        <f t="shared" si="4"/>
        <v>#N/A</v>
      </c>
      <c r="M38" s="211" t="e">
        <f t="shared" si="5"/>
        <v>#N/A</v>
      </c>
      <c r="N38" s="201" t="e">
        <f t="shared" si="6"/>
        <v>#N/A</v>
      </c>
      <c r="O38" s="198">
        <v>0</v>
      </c>
      <c r="P38" s="198">
        <v>0</v>
      </c>
      <c r="Q38" s="200" t="e">
        <f t="shared" si="7"/>
        <v>#N/A</v>
      </c>
      <c r="Z38" s="260"/>
    </row>
    <row r="39" spans="1:26" x14ac:dyDescent="0.25">
      <c r="A39" s="180">
        <f t="shared" si="0"/>
        <v>28</v>
      </c>
      <c r="B39" s="296"/>
      <c r="C39" s="306"/>
      <c r="D39" s="304"/>
      <c r="E39" s="305"/>
      <c r="F39" s="296"/>
      <c r="G39" s="216">
        <f t="shared" si="1"/>
        <v>0</v>
      </c>
      <c r="H39" s="279">
        <f t="shared" si="2"/>
        <v>0</v>
      </c>
      <c r="I39" s="280"/>
      <c r="J39" s="202" t="e">
        <f>IF(I39=("Comisario"),(VLOOKUP(I39,'Simulador Piramide-Salarios'!$F$57:$J$74,5,0)),(IF(I39=("Inspector General"),(VLOOKUP(I39,'Simulador Piramide-Salarios'!$F$57:$J$74,5,0)),(IF(I39=("Subinspector"),(VLOOKUP(I39,'Simulador Piramide-Salarios'!$F$57:$J$74,5,0)),(IF(I39=("Inspector"),(VLOOKUP(I39,'Simulador Piramide-Salarios'!$F$57:$J$74,5,0)),(IF(I39=("Inspector Jefe"),(VLOOKUP(I39,'Simulador Piramide-Salarios'!$F$57:$J$74,5,0)),(IF((IF((VLOOKUP(I39,'Simulador Piramide-Salarios'!$F$57:$J$74,3,0))&gt;0,(VLOOKUP(I39,'Simulador Piramide-Salarios'!$F$57:$J$74,3,0)),(VLOOKUP(I39,'Simulador Piramide-Salarios'!$E$57:$J$74,5,0))))&gt;0,(IF((VLOOKUP(I39,'Simulador Piramide-Salarios'!$F$57:$J$74,3,0))&gt;0,(VLOOKUP(I39,'Simulador Piramide-Salarios'!$F$57:$J$74,3,0)),(VLOOKUP(I39,'Simulador Piramide-Salarios'!$E$57:$J$74,5,0)))),(VLOOKUP(I39,'Simulador Piramide-Salarios'!$D$57:$J$74,7,0)))))))))))))</f>
        <v>#N/A</v>
      </c>
      <c r="K39" s="200" t="e">
        <f t="shared" si="3"/>
        <v>#N/A</v>
      </c>
      <c r="L39" s="200" t="e">
        <f t="shared" si="4"/>
        <v>#N/A</v>
      </c>
      <c r="M39" s="211" t="e">
        <f t="shared" si="5"/>
        <v>#N/A</v>
      </c>
      <c r="N39" s="201" t="e">
        <f t="shared" si="6"/>
        <v>#N/A</v>
      </c>
      <c r="O39" s="198">
        <v>0</v>
      </c>
      <c r="P39" s="198">
        <v>0</v>
      </c>
      <c r="Q39" s="200" t="e">
        <f t="shared" si="7"/>
        <v>#N/A</v>
      </c>
      <c r="Z39" s="260"/>
    </row>
    <row r="40" spans="1:26" x14ac:dyDescent="0.25">
      <c r="A40" s="180">
        <f t="shared" si="0"/>
        <v>29</v>
      </c>
      <c r="B40" s="296"/>
      <c r="C40" s="306"/>
      <c r="D40" s="304"/>
      <c r="E40" s="305"/>
      <c r="F40" s="296"/>
      <c r="G40" s="216">
        <f t="shared" si="1"/>
        <v>0</v>
      </c>
      <c r="H40" s="279">
        <f t="shared" si="2"/>
        <v>0</v>
      </c>
      <c r="I40" s="280"/>
      <c r="J40" s="202" t="e">
        <f>IF(I40=("Comisario"),(VLOOKUP(I40,'Simulador Piramide-Salarios'!$F$57:$J$74,5,0)),(IF(I40=("Inspector General"),(VLOOKUP(I40,'Simulador Piramide-Salarios'!$F$57:$J$74,5,0)),(IF(I40=("Subinspector"),(VLOOKUP(I40,'Simulador Piramide-Salarios'!$F$57:$J$74,5,0)),(IF(I40=("Inspector"),(VLOOKUP(I40,'Simulador Piramide-Salarios'!$F$57:$J$74,5,0)),(IF(I40=("Inspector Jefe"),(VLOOKUP(I40,'Simulador Piramide-Salarios'!$F$57:$J$74,5,0)),(IF((IF((VLOOKUP(I40,'Simulador Piramide-Salarios'!$F$57:$J$74,3,0))&gt;0,(VLOOKUP(I40,'Simulador Piramide-Salarios'!$F$57:$J$74,3,0)),(VLOOKUP(I40,'Simulador Piramide-Salarios'!$E$57:$J$74,5,0))))&gt;0,(IF((VLOOKUP(I40,'Simulador Piramide-Salarios'!$F$57:$J$74,3,0))&gt;0,(VLOOKUP(I40,'Simulador Piramide-Salarios'!$F$57:$J$74,3,0)),(VLOOKUP(I40,'Simulador Piramide-Salarios'!$E$57:$J$74,5,0)))),(VLOOKUP(I40,'Simulador Piramide-Salarios'!$D$57:$J$74,7,0)))))))))))))</f>
        <v>#N/A</v>
      </c>
      <c r="K40" s="200" t="e">
        <f t="shared" si="3"/>
        <v>#N/A</v>
      </c>
      <c r="L40" s="200" t="e">
        <f t="shared" si="4"/>
        <v>#N/A</v>
      </c>
      <c r="M40" s="211" t="e">
        <f t="shared" si="5"/>
        <v>#N/A</v>
      </c>
      <c r="N40" s="201" t="e">
        <f t="shared" si="6"/>
        <v>#N/A</v>
      </c>
      <c r="O40" s="198">
        <v>0</v>
      </c>
      <c r="P40" s="198">
        <v>0</v>
      </c>
      <c r="Q40" s="200" t="e">
        <f t="shared" si="7"/>
        <v>#N/A</v>
      </c>
      <c r="Z40" s="260"/>
    </row>
    <row r="41" spans="1:26" x14ac:dyDescent="0.25">
      <c r="A41" s="180">
        <f t="shared" si="0"/>
        <v>30</v>
      </c>
      <c r="B41" s="296"/>
      <c r="C41" s="306"/>
      <c r="D41" s="304"/>
      <c r="E41" s="305"/>
      <c r="F41" s="296"/>
      <c r="G41" s="216">
        <f t="shared" si="1"/>
        <v>0</v>
      </c>
      <c r="H41" s="279">
        <f t="shared" si="2"/>
        <v>0</v>
      </c>
      <c r="I41" s="280"/>
      <c r="J41" s="202" t="e">
        <f>IF(I41=("Comisario"),(VLOOKUP(I41,'Simulador Piramide-Salarios'!$F$57:$J$74,5,0)),(IF(I41=("Inspector General"),(VLOOKUP(I41,'Simulador Piramide-Salarios'!$F$57:$J$74,5,0)),(IF(I41=("Subinspector"),(VLOOKUP(I41,'Simulador Piramide-Salarios'!$F$57:$J$74,5,0)),(IF(I41=("Inspector"),(VLOOKUP(I41,'Simulador Piramide-Salarios'!$F$57:$J$74,5,0)),(IF(I41=("Inspector Jefe"),(VLOOKUP(I41,'Simulador Piramide-Salarios'!$F$57:$J$74,5,0)),(IF((IF((VLOOKUP(I41,'Simulador Piramide-Salarios'!$F$57:$J$74,3,0))&gt;0,(VLOOKUP(I41,'Simulador Piramide-Salarios'!$F$57:$J$74,3,0)),(VLOOKUP(I41,'Simulador Piramide-Salarios'!$E$57:$J$74,5,0))))&gt;0,(IF((VLOOKUP(I41,'Simulador Piramide-Salarios'!$F$57:$J$74,3,0))&gt;0,(VLOOKUP(I41,'Simulador Piramide-Salarios'!$F$57:$J$74,3,0)),(VLOOKUP(I41,'Simulador Piramide-Salarios'!$E$57:$J$74,5,0)))),(VLOOKUP(I41,'Simulador Piramide-Salarios'!$D$57:$J$74,7,0)))))))))))))</f>
        <v>#N/A</v>
      </c>
      <c r="K41" s="200" t="e">
        <f t="shared" si="3"/>
        <v>#N/A</v>
      </c>
      <c r="L41" s="200" t="e">
        <f t="shared" si="4"/>
        <v>#N/A</v>
      </c>
      <c r="M41" s="211" t="e">
        <f t="shared" si="5"/>
        <v>#N/A</v>
      </c>
      <c r="N41" s="201" t="e">
        <f t="shared" si="6"/>
        <v>#N/A</v>
      </c>
      <c r="O41" s="198">
        <v>0</v>
      </c>
      <c r="P41" s="198">
        <v>0</v>
      </c>
      <c r="Q41" s="200" t="e">
        <f t="shared" si="7"/>
        <v>#N/A</v>
      </c>
      <c r="Z41" s="260"/>
    </row>
    <row r="42" spans="1:26" x14ac:dyDescent="0.25">
      <c r="A42" s="180">
        <f t="shared" si="0"/>
        <v>31</v>
      </c>
      <c r="B42" s="296"/>
      <c r="C42" s="306"/>
      <c r="D42" s="304"/>
      <c r="E42" s="305"/>
      <c r="F42" s="296"/>
      <c r="G42" s="216">
        <f t="shared" si="1"/>
        <v>0</v>
      </c>
      <c r="H42" s="279">
        <f t="shared" si="2"/>
        <v>0</v>
      </c>
      <c r="I42" s="280"/>
      <c r="J42" s="202" t="e">
        <f>IF(I42=("Comisario"),(VLOOKUP(I42,'Simulador Piramide-Salarios'!$F$57:$J$74,5,0)),(IF(I42=("Inspector General"),(VLOOKUP(I42,'Simulador Piramide-Salarios'!$F$57:$J$74,5,0)),(IF(I42=("Subinspector"),(VLOOKUP(I42,'Simulador Piramide-Salarios'!$F$57:$J$74,5,0)),(IF(I42=("Inspector"),(VLOOKUP(I42,'Simulador Piramide-Salarios'!$F$57:$J$74,5,0)),(IF(I42=("Inspector Jefe"),(VLOOKUP(I42,'Simulador Piramide-Salarios'!$F$57:$J$74,5,0)),(IF((IF((VLOOKUP(I42,'Simulador Piramide-Salarios'!$F$57:$J$74,3,0))&gt;0,(VLOOKUP(I42,'Simulador Piramide-Salarios'!$F$57:$J$74,3,0)),(VLOOKUP(I42,'Simulador Piramide-Salarios'!$E$57:$J$74,5,0))))&gt;0,(IF((VLOOKUP(I42,'Simulador Piramide-Salarios'!$F$57:$J$74,3,0))&gt;0,(VLOOKUP(I42,'Simulador Piramide-Salarios'!$F$57:$J$74,3,0)),(VLOOKUP(I42,'Simulador Piramide-Salarios'!$E$57:$J$74,5,0)))),(VLOOKUP(I42,'Simulador Piramide-Salarios'!$D$57:$J$74,7,0)))))))))))))</f>
        <v>#N/A</v>
      </c>
      <c r="K42" s="200" t="e">
        <f t="shared" si="3"/>
        <v>#N/A</v>
      </c>
      <c r="L42" s="200" t="e">
        <f t="shared" si="4"/>
        <v>#N/A</v>
      </c>
      <c r="M42" s="211" t="e">
        <f t="shared" si="5"/>
        <v>#N/A</v>
      </c>
      <c r="N42" s="201" t="e">
        <f t="shared" si="6"/>
        <v>#N/A</v>
      </c>
      <c r="O42" s="198">
        <v>0</v>
      </c>
      <c r="P42" s="198">
        <v>0</v>
      </c>
      <c r="Q42" s="200" t="e">
        <f t="shared" si="7"/>
        <v>#N/A</v>
      </c>
      <c r="Z42" s="260"/>
    </row>
    <row r="43" spans="1:26" x14ac:dyDescent="0.25">
      <c r="A43" s="180">
        <f t="shared" si="0"/>
        <v>32</v>
      </c>
      <c r="B43" s="296"/>
      <c r="C43" s="306"/>
      <c r="D43" s="304"/>
      <c r="E43" s="305"/>
      <c r="F43" s="296"/>
      <c r="G43" s="216">
        <f t="shared" si="1"/>
        <v>0</v>
      </c>
      <c r="H43" s="279">
        <f t="shared" si="2"/>
        <v>0</v>
      </c>
      <c r="I43" s="280"/>
      <c r="J43" s="202" t="e">
        <f>IF(I43=("Comisario"),(VLOOKUP(I43,'Simulador Piramide-Salarios'!$F$57:$J$74,5,0)),(IF(I43=("Inspector General"),(VLOOKUP(I43,'Simulador Piramide-Salarios'!$F$57:$J$74,5,0)),(IF(I43=("Subinspector"),(VLOOKUP(I43,'Simulador Piramide-Salarios'!$F$57:$J$74,5,0)),(IF(I43=("Inspector"),(VLOOKUP(I43,'Simulador Piramide-Salarios'!$F$57:$J$74,5,0)),(IF(I43=("Inspector Jefe"),(VLOOKUP(I43,'Simulador Piramide-Salarios'!$F$57:$J$74,5,0)),(IF((IF((VLOOKUP(I43,'Simulador Piramide-Salarios'!$F$57:$J$74,3,0))&gt;0,(VLOOKUP(I43,'Simulador Piramide-Salarios'!$F$57:$J$74,3,0)),(VLOOKUP(I43,'Simulador Piramide-Salarios'!$E$57:$J$74,5,0))))&gt;0,(IF((VLOOKUP(I43,'Simulador Piramide-Salarios'!$F$57:$J$74,3,0))&gt;0,(VLOOKUP(I43,'Simulador Piramide-Salarios'!$F$57:$J$74,3,0)),(VLOOKUP(I43,'Simulador Piramide-Salarios'!$E$57:$J$74,5,0)))),(VLOOKUP(I43,'Simulador Piramide-Salarios'!$D$57:$J$74,7,0)))))))))))))</f>
        <v>#N/A</v>
      </c>
      <c r="K43" s="200" t="e">
        <f t="shared" si="3"/>
        <v>#N/A</v>
      </c>
      <c r="L43" s="200" t="e">
        <f t="shared" si="4"/>
        <v>#N/A</v>
      </c>
      <c r="M43" s="211" t="e">
        <f t="shared" si="5"/>
        <v>#N/A</v>
      </c>
      <c r="N43" s="201" t="e">
        <f t="shared" si="6"/>
        <v>#N/A</v>
      </c>
      <c r="O43" s="198">
        <v>0</v>
      </c>
      <c r="P43" s="198">
        <v>0</v>
      </c>
      <c r="Q43" s="200" t="e">
        <f t="shared" si="7"/>
        <v>#N/A</v>
      </c>
      <c r="Z43" s="260"/>
    </row>
    <row r="44" spans="1:26" x14ac:dyDescent="0.25">
      <c r="A44" s="180">
        <f t="shared" si="0"/>
        <v>33</v>
      </c>
      <c r="B44" s="296"/>
      <c r="C44" s="306"/>
      <c r="D44" s="304"/>
      <c r="E44" s="305"/>
      <c r="F44" s="296"/>
      <c r="G44" s="216">
        <f t="shared" si="1"/>
        <v>0</v>
      </c>
      <c r="H44" s="279">
        <f t="shared" si="2"/>
        <v>0</v>
      </c>
      <c r="I44" s="280"/>
      <c r="J44" s="202" t="e">
        <f>IF(I44=("Comisario"),(VLOOKUP(I44,'Simulador Piramide-Salarios'!$F$57:$J$74,5,0)),(IF(I44=("Inspector General"),(VLOOKUP(I44,'Simulador Piramide-Salarios'!$F$57:$J$74,5,0)),(IF(I44=("Subinspector"),(VLOOKUP(I44,'Simulador Piramide-Salarios'!$F$57:$J$74,5,0)),(IF(I44=("Inspector"),(VLOOKUP(I44,'Simulador Piramide-Salarios'!$F$57:$J$74,5,0)),(IF(I44=("Inspector Jefe"),(VLOOKUP(I44,'Simulador Piramide-Salarios'!$F$57:$J$74,5,0)),(IF((IF((VLOOKUP(I44,'Simulador Piramide-Salarios'!$F$57:$J$74,3,0))&gt;0,(VLOOKUP(I44,'Simulador Piramide-Salarios'!$F$57:$J$74,3,0)),(VLOOKUP(I44,'Simulador Piramide-Salarios'!$E$57:$J$74,5,0))))&gt;0,(IF((VLOOKUP(I44,'Simulador Piramide-Salarios'!$F$57:$J$74,3,0))&gt;0,(VLOOKUP(I44,'Simulador Piramide-Salarios'!$F$57:$J$74,3,0)),(VLOOKUP(I44,'Simulador Piramide-Salarios'!$E$57:$J$74,5,0)))),(VLOOKUP(I44,'Simulador Piramide-Salarios'!$D$57:$J$74,7,0)))))))))))))</f>
        <v>#N/A</v>
      </c>
      <c r="K44" s="200" t="e">
        <f t="shared" si="3"/>
        <v>#N/A</v>
      </c>
      <c r="L44" s="200" t="e">
        <f t="shared" si="4"/>
        <v>#N/A</v>
      </c>
      <c r="M44" s="211" t="e">
        <f t="shared" si="5"/>
        <v>#N/A</v>
      </c>
      <c r="N44" s="201" t="e">
        <f t="shared" si="6"/>
        <v>#N/A</v>
      </c>
      <c r="O44" s="198">
        <v>0</v>
      </c>
      <c r="P44" s="198">
        <v>0</v>
      </c>
      <c r="Q44" s="200" t="e">
        <f t="shared" si="7"/>
        <v>#N/A</v>
      </c>
      <c r="Z44" s="260"/>
    </row>
    <row r="45" spans="1:26" x14ac:dyDescent="0.25">
      <c r="A45" s="180">
        <f t="shared" si="0"/>
        <v>34</v>
      </c>
      <c r="B45" s="296"/>
      <c r="C45" s="306"/>
      <c r="D45" s="304"/>
      <c r="E45" s="305"/>
      <c r="F45" s="296"/>
      <c r="G45" s="216">
        <f t="shared" si="1"/>
        <v>0</v>
      </c>
      <c r="H45" s="279">
        <f t="shared" si="2"/>
        <v>0</v>
      </c>
      <c r="I45" s="280"/>
      <c r="J45" s="202" t="e">
        <f>IF(I45=("Comisario"),(VLOOKUP(I45,'Simulador Piramide-Salarios'!$F$57:$J$74,5,0)),(IF(I45=("Inspector General"),(VLOOKUP(I45,'Simulador Piramide-Salarios'!$F$57:$J$74,5,0)),(IF(I45=("Subinspector"),(VLOOKUP(I45,'Simulador Piramide-Salarios'!$F$57:$J$74,5,0)),(IF(I45=("Inspector"),(VLOOKUP(I45,'Simulador Piramide-Salarios'!$F$57:$J$74,5,0)),(IF(I45=("Inspector Jefe"),(VLOOKUP(I45,'Simulador Piramide-Salarios'!$F$57:$J$74,5,0)),(IF((IF((VLOOKUP(I45,'Simulador Piramide-Salarios'!$F$57:$J$74,3,0))&gt;0,(VLOOKUP(I45,'Simulador Piramide-Salarios'!$F$57:$J$74,3,0)),(VLOOKUP(I45,'Simulador Piramide-Salarios'!$E$57:$J$74,5,0))))&gt;0,(IF((VLOOKUP(I45,'Simulador Piramide-Salarios'!$F$57:$J$74,3,0))&gt;0,(VLOOKUP(I45,'Simulador Piramide-Salarios'!$F$57:$J$74,3,0)),(VLOOKUP(I45,'Simulador Piramide-Salarios'!$E$57:$J$74,5,0)))),(VLOOKUP(I45,'Simulador Piramide-Salarios'!$D$57:$J$74,7,0)))))))))))))</f>
        <v>#N/A</v>
      </c>
      <c r="K45" s="200" t="e">
        <f t="shared" si="3"/>
        <v>#N/A</v>
      </c>
      <c r="L45" s="200" t="e">
        <f t="shared" si="4"/>
        <v>#N/A</v>
      </c>
      <c r="M45" s="211" t="e">
        <f t="shared" si="5"/>
        <v>#N/A</v>
      </c>
      <c r="N45" s="201" t="e">
        <f t="shared" si="6"/>
        <v>#N/A</v>
      </c>
      <c r="O45" s="198">
        <v>0</v>
      </c>
      <c r="P45" s="198">
        <v>0</v>
      </c>
      <c r="Q45" s="200" t="e">
        <f t="shared" si="7"/>
        <v>#N/A</v>
      </c>
      <c r="Z45" s="260"/>
    </row>
    <row r="46" spans="1:26" x14ac:dyDescent="0.25">
      <c r="A46" s="180">
        <f t="shared" si="0"/>
        <v>35</v>
      </c>
      <c r="B46" s="296"/>
      <c r="C46" s="306"/>
      <c r="D46" s="304"/>
      <c r="E46" s="305"/>
      <c r="F46" s="296"/>
      <c r="G46" s="216">
        <f t="shared" si="1"/>
        <v>0</v>
      </c>
      <c r="H46" s="279">
        <f t="shared" si="2"/>
        <v>0</v>
      </c>
      <c r="I46" s="280"/>
      <c r="J46" s="202" t="e">
        <f>IF(I46=("Comisario"),(VLOOKUP(I46,'Simulador Piramide-Salarios'!$F$57:$J$74,5,0)),(IF(I46=("Inspector General"),(VLOOKUP(I46,'Simulador Piramide-Salarios'!$F$57:$J$74,5,0)),(IF(I46=("Subinspector"),(VLOOKUP(I46,'Simulador Piramide-Salarios'!$F$57:$J$74,5,0)),(IF(I46=("Inspector"),(VLOOKUP(I46,'Simulador Piramide-Salarios'!$F$57:$J$74,5,0)),(IF(I46=("Inspector Jefe"),(VLOOKUP(I46,'Simulador Piramide-Salarios'!$F$57:$J$74,5,0)),(IF((IF((VLOOKUP(I46,'Simulador Piramide-Salarios'!$F$57:$J$74,3,0))&gt;0,(VLOOKUP(I46,'Simulador Piramide-Salarios'!$F$57:$J$74,3,0)),(VLOOKUP(I46,'Simulador Piramide-Salarios'!$E$57:$J$74,5,0))))&gt;0,(IF((VLOOKUP(I46,'Simulador Piramide-Salarios'!$F$57:$J$74,3,0))&gt;0,(VLOOKUP(I46,'Simulador Piramide-Salarios'!$F$57:$J$74,3,0)),(VLOOKUP(I46,'Simulador Piramide-Salarios'!$E$57:$J$74,5,0)))),(VLOOKUP(I46,'Simulador Piramide-Salarios'!$D$57:$J$74,7,0)))))))))))))</f>
        <v>#N/A</v>
      </c>
      <c r="K46" s="200" t="e">
        <f t="shared" si="3"/>
        <v>#N/A</v>
      </c>
      <c r="L46" s="200" t="e">
        <f t="shared" si="4"/>
        <v>#N/A</v>
      </c>
      <c r="M46" s="211" t="e">
        <f t="shared" si="5"/>
        <v>#N/A</v>
      </c>
      <c r="N46" s="201" t="e">
        <f t="shared" si="6"/>
        <v>#N/A</v>
      </c>
      <c r="O46" s="198">
        <v>0</v>
      </c>
      <c r="P46" s="198">
        <v>0</v>
      </c>
      <c r="Q46" s="200" t="e">
        <f t="shared" si="7"/>
        <v>#N/A</v>
      </c>
      <c r="Z46" s="260"/>
    </row>
    <row r="47" spans="1:26" x14ac:dyDescent="0.25">
      <c r="A47" s="180">
        <f t="shared" si="0"/>
        <v>36</v>
      </c>
      <c r="B47" s="296"/>
      <c r="C47" s="306"/>
      <c r="D47" s="304"/>
      <c r="E47" s="305"/>
      <c r="F47" s="296"/>
      <c r="G47" s="216">
        <f t="shared" si="1"/>
        <v>0</v>
      </c>
      <c r="H47" s="279">
        <f t="shared" si="2"/>
        <v>0</v>
      </c>
      <c r="I47" s="280"/>
      <c r="J47" s="202" t="e">
        <f>IF(I47=("Comisario"),(VLOOKUP(I47,'Simulador Piramide-Salarios'!$F$57:$J$74,5,0)),(IF(I47=("Inspector General"),(VLOOKUP(I47,'Simulador Piramide-Salarios'!$F$57:$J$74,5,0)),(IF(I47=("Subinspector"),(VLOOKUP(I47,'Simulador Piramide-Salarios'!$F$57:$J$74,5,0)),(IF(I47=("Inspector"),(VLOOKUP(I47,'Simulador Piramide-Salarios'!$F$57:$J$74,5,0)),(IF(I47=("Inspector Jefe"),(VLOOKUP(I47,'Simulador Piramide-Salarios'!$F$57:$J$74,5,0)),(IF((IF((VLOOKUP(I47,'Simulador Piramide-Salarios'!$F$57:$J$74,3,0))&gt;0,(VLOOKUP(I47,'Simulador Piramide-Salarios'!$F$57:$J$74,3,0)),(VLOOKUP(I47,'Simulador Piramide-Salarios'!$E$57:$J$74,5,0))))&gt;0,(IF((VLOOKUP(I47,'Simulador Piramide-Salarios'!$F$57:$J$74,3,0))&gt;0,(VLOOKUP(I47,'Simulador Piramide-Salarios'!$F$57:$J$74,3,0)),(VLOOKUP(I47,'Simulador Piramide-Salarios'!$E$57:$J$74,5,0)))),(VLOOKUP(I47,'Simulador Piramide-Salarios'!$D$57:$J$74,7,0)))))))))))))</f>
        <v>#N/A</v>
      </c>
      <c r="K47" s="200" t="e">
        <f t="shared" si="3"/>
        <v>#N/A</v>
      </c>
      <c r="L47" s="200" t="e">
        <f t="shared" si="4"/>
        <v>#N/A</v>
      </c>
      <c r="M47" s="211" t="e">
        <f t="shared" si="5"/>
        <v>#N/A</v>
      </c>
      <c r="N47" s="201" t="e">
        <f t="shared" si="6"/>
        <v>#N/A</v>
      </c>
      <c r="O47" s="198">
        <v>0</v>
      </c>
      <c r="P47" s="198">
        <v>0</v>
      </c>
      <c r="Q47" s="200" t="e">
        <f t="shared" si="7"/>
        <v>#N/A</v>
      </c>
      <c r="Z47" s="260"/>
    </row>
    <row r="48" spans="1:26" x14ac:dyDescent="0.25">
      <c r="A48" s="180">
        <f t="shared" si="0"/>
        <v>37</v>
      </c>
      <c r="B48" s="296"/>
      <c r="C48" s="306"/>
      <c r="D48" s="304"/>
      <c r="E48" s="305"/>
      <c r="F48" s="296"/>
      <c r="G48" s="216">
        <f t="shared" si="1"/>
        <v>0</v>
      </c>
      <c r="H48" s="279">
        <f t="shared" si="2"/>
        <v>0</v>
      </c>
      <c r="I48" s="280"/>
      <c r="J48" s="202" t="e">
        <f>IF(I48=("Comisario"),(VLOOKUP(I48,'Simulador Piramide-Salarios'!$F$57:$J$74,5,0)),(IF(I48=("Inspector General"),(VLOOKUP(I48,'Simulador Piramide-Salarios'!$F$57:$J$74,5,0)),(IF(I48=("Subinspector"),(VLOOKUP(I48,'Simulador Piramide-Salarios'!$F$57:$J$74,5,0)),(IF(I48=("Inspector"),(VLOOKUP(I48,'Simulador Piramide-Salarios'!$F$57:$J$74,5,0)),(IF(I48=("Inspector Jefe"),(VLOOKUP(I48,'Simulador Piramide-Salarios'!$F$57:$J$74,5,0)),(IF((IF((VLOOKUP(I48,'Simulador Piramide-Salarios'!$F$57:$J$74,3,0))&gt;0,(VLOOKUP(I48,'Simulador Piramide-Salarios'!$F$57:$J$74,3,0)),(VLOOKUP(I48,'Simulador Piramide-Salarios'!$E$57:$J$74,5,0))))&gt;0,(IF((VLOOKUP(I48,'Simulador Piramide-Salarios'!$F$57:$J$74,3,0))&gt;0,(VLOOKUP(I48,'Simulador Piramide-Salarios'!$F$57:$J$74,3,0)),(VLOOKUP(I48,'Simulador Piramide-Salarios'!$E$57:$J$74,5,0)))),(VLOOKUP(I48,'Simulador Piramide-Salarios'!$D$57:$J$74,7,0)))))))))))))</f>
        <v>#N/A</v>
      </c>
      <c r="K48" s="200" t="e">
        <f t="shared" si="3"/>
        <v>#N/A</v>
      </c>
      <c r="L48" s="200" t="e">
        <f t="shared" si="4"/>
        <v>#N/A</v>
      </c>
      <c r="M48" s="211" t="e">
        <f t="shared" si="5"/>
        <v>#N/A</v>
      </c>
      <c r="N48" s="201" t="e">
        <f t="shared" si="6"/>
        <v>#N/A</v>
      </c>
      <c r="O48" s="198">
        <v>0</v>
      </c>
      <c r="P48" s="198">
        <v>0</v>
      </c>
      <c r="Q48" s="200" t="e">
        <f t="shared" si="7"/>
        <v>#N/A</v>
      </c>
      <c r="Z48" s="260"/>
    </row>
    <row r="49" spans="1:26" x14ac:dyDescent="0.25">
      <c r="A49" s="180">
        <f t="shared" si="0"/>
        <v>38</v>
      </c>
      <c r="B49" s="296"/>
      <c r="C49" s="306"/>
      <c r="D49" s="304"/>
      <c r="E49" s="305"/>
      <c r="F49" s="296"/>
      <c r="G49" s="216">
        <f t="shared" si="1"/>
        <v>0</v>
      </c>
      <c r="H49" s="279">
        <f t="shared" si="2"/>
        <v>0</v>
      </c>
      <c r="I49" s="280"/>
      <c r="J49" s="202" t="e">
        <f>IF(I49=("Comisario"),(VLOOKUP(I49,'Simulador Piramide-Salarios'!$F$57:$J$74,5,0)),(IF(I49=("Inspector General"),(VLOOKUP(I49,'Simulador Piramide-Salarios'!$F$57:$J$74,5,0)),(IF(I49=("Subinspector"),(VLOOKUP(I49,'Simulador Piramide-Salarios'!$F$57:$J$74,5,0)),(IF(I49=("Inspector"),(VLOOKUP(I49,'Simulador Piramide-Salarios'!$F$57:$J$74,5,0)),(IF(I49=("Inspector Jefe"),(VLOOKUP(I49,'Simulador Piramide-Salarios'!$F$57:$J$74,5,0)),(IF((IF((VLOOKUP(I49,'Simulador Piramide-Salarios'!$F$57:$J$74,3,0))&gt;0,(VLOOKUP(I49,'Simulador Piramide-Salarios'!$F$57:$J$74,3,0)),(VLOOKUP(I49,'Simulador Piramide-Salarios'!$E$57:$J$74,5,0))))&gt;0,(IF((VLOOKUP(I49,'Simulador Piramide-Salarios'!$F$57:$J$74,3,0))&gt;0,(VLOOKUP(I49,'Simulador Piramide-Salarios'!$F$57:$J$74,3,0)),(VLOOKUP(I49,'Simulador Piramide-Salarios'!$E$57:$J$74,5,0)))),(VLOOKUP(I49,'Simulador Piramide-Salarios'!$D$57:$J$74,7,0)))))))))))))</f>
        <v>#N/A</v>
      </c>
      <c r="K49" s="200" t="e">
        <f t="shared" si="3"/>
        <v>#N/A</v>
      </c>
      <c r="L49" s="200" t="e">
        <f t="shared" si="4"/>
        <v>#N/A</v>
      </c>
      <c r="M49" s="211" t="e">
        <f t="shared" si="5"/>
        <v>#N/A</v>
      </c>
      <c r="N49" s="201" t="e">
        <f t="shared" si="6"/>
        <v>#N/A</v>
      </c>
      <c r="O49" s="198">
        <v>0</v>
      </c>
      <c r="P49" s="198">
        <v>0</v>
      </c>
      <c r="Q49" s="200" t="e">
        <f t="shared" si="7"/>
        <v>#N/A</v>
      </c>
      <c r="Z49" s="260"/>
    </row>
    <row r="50" spans="1:26" x14ac:dyDescent="0.25">
      <c r="A50" s="180">
        <f t="shared" si="0"/>
        <v>39</v>
      </c>
      <c r="B50" s="296"/>
      <c r="C50" s="306"/>
      <c r="D50" s="304"/>
      <c r="E50" s="305"/>
      <c r="F50" s="296"/>
      <c r="G50" s="216">
        <f t="shared" si="1"/>
        <v>0</v>
      </c>
      <c r="H50" s="279">
        <f t="shared" si="2"/>
        <v>0</v>
      </c>
      <c r="I50" s="280"/>
      <c r="J50" s="202" t="e">
        <f>IF(I50=("Comisario"),(VLOOKUP(I50,'Simulador Piramide-Salarios'!$F$57:$J$74,5,0)),(IF(I50=("Inspector General"),(VLOOKUP(I50,'Simulador Piramide-Salarios'!$F$57:$J$74,5,0)),(IF(I50=("Subinspector"),(VLOOKUP(I50,'Simulador Piramide-Salarios'!$F$57:$J$74,5,0)),(IF(I50=("Inspector"),(VLOOKUP(I50,'Simulador Piramide-Salarios'!$F$57:$J$74,5,0)),(IF(I50=("Inspector Jefe"),(VLOOKUP(I50,'Simulador Piramide-Salarios'!$F$57:$J$74,5,0)),(IF((IF((VLOOKUP(I50,'Simulador Piramide-Salarios'!$F$57:$J$74,3,0))&gt;0,(VLOOKUP(I50,'Simulador Piramide-Salarios'!$F$57:$J$74,3,0)),(VLOOKUP(I50,'Simulador Piramide-Salarios'!$E$57:$J$74,5,0))))&gt;0,(IF((VLOOKUP(I50,'Simulador Piramide-Salarios'!$F$57:$J$74,3,0))&gt;0,(VLOOKUP(I50,'Simulador Piramide-Salarios'!$F$57:$J$74,3,0)),(VLOOKUP(I50,'Simulador Piramide-Salarios'!$E$57:$J$74,5,0)))),(VLOOKUP(I50,'Simulador Piramide-Salarios'!$D$57:$J$74,7,0)))))))))))))</f>
        <v>#N/A</v>
      </c>
      <c r="K50" s="200" t="e">
        <f t="shared" si="3"/>
        <v>#N/A</v>
      </c>
      <c r="L50" s="200" t="e">
        <f t="shared" si="4"/>
        <v>#N/A</v>
      </c>
      <c r="M50" s="211" t="e">
        <f t="shared" si="5"/>
        <v>#N/A</v>
      </c>
      <c r="N50" s="201" t="e">
        <f t="shared" si="6"/>
        <v>#N/A</v>
      </c>
      <c r="O50" s="198">
        <v>0</v>
      </c>
      <c r="P50" s="198">
        <v>0</v>
      </c>
      <c r="Q50" s="200" t="e">
        <f t="shared" si="7"/>
        <v>#N/A</v>
      </c>
      <c r="Z50" s="260"/>
    </row>
    <row r="51" spans="1:26" x14ac:dyDescent="0.25">
      <c r="A51" s="180">
        <f t="shared" si="0"/>
        <v>40</v>
      </c>
      <c r="B51" s="296"/>
      <c r="C51" s="306"/>
      <c r="D51" s="304"/>
      <c r="E51" s="305"/>
      <c r="F51" s="296"/>
      <c r="G51" s="216">
        <f t="shared" si="1"/>
        <v>0</v>
      </c>
      <c r="H51" s="279">
        <f t="shared" si="2"/>
        <v>0</v>
      </c>
      <c r="I51" s="280"/>
      <c r="J51" s="202" t="e">
        <f>IF(I51=("Comisario"),(VLOOKUP(I51,'Simulador Piramide-Salarios'!$F$57:$J$74,5,0)),(IF(I51=("Inspector General"),(VLOOKUP(I51,'Simulador Piramide-Salarios'!$F$57:$J$74,5,0)),(IF(I51=("Subinspector"),(VLOOKUP(I51,'Simulador Piramide-Salarios'!$F$57:$J$74,5,0)),(IF(I51=("Inspector"),(VLOOKUP(I51,'Simulador Piramide-Salarios'!$F$57:$J$74,5,0)),(IF(I51=("Inspector Jefe"),(VLOOKUP(I51,'Simulador Piramide-Salarios'!$F$57:$J$74,5,0)),(IF((IF((VLOOKUP(I51,'Simulador Piramide-Salarios'!$F$57:$J$74,3,0))&gt;0,(VLOOKUP(I51,'Simulador Piramide-Salarios'!$F$57:$J$74,3,0)),(VLOOKUP(I51,'Simulador Piramide-Salarios'!$E$57:$J$74,5,0))))&gt;0,(IF((VLOOKUP(I51,'Simulador Piramide-Salarios'!$F$57:$J$74,3,0))&gt;0,(VLOOKUP(I51,'Simulador Piramide-Salarios'!$F$57:$J$74,3,0)),(VLOOKUP(I51,'Simulador Piramide-Salarios'!$E$57:$J$74,5,0)))),(VLOOKUP(I51,'Simulador Piramide-Salarios'!$D$57:$J$74,7,0)))))))))))))</f>
        <v>#N/A</v>
      </c>
      <c r="K51" s="200" t="e">
        <f t="shared" si="3"/>
        <v>#N/A</v>
      </c>
      <c r="L51" s="200" t="e">
        <f t="shared" si="4"/>
        <v>#N/A</v>
      </c>
      <c r="M51" s="211" t="e">
        <f t="shared" si="5"/>
        <v>#N/A</v>
      </c>
      <c r="N51" s="201" t="e">
        <f t="shared" si="6"/>
        <v>#N/A</v>
      </c>
      <c r="O51" s="198">
        <v>0</v>
      </c>
      <c r="P51" s="198">
        <v>0</v>
      </c>
      <c r="Q51" s="200" t="e">
        <f t="shared" si="7"/>
        <v>#N/A</v>
      </c>
      <c r="Z51" s="260"/>
    </row>
    <row r="52" spans="1:26" x14ac:dyDescent="0.25">
      <c r="A52" s="180">
        <f t="shared" si="0"/>
        <v>41</v>
      </c>
      <c r="B52" s="296"/>
      <c r="C52" s="306"/>
      <c r="D52" s="304"/>
      <c r="E52" s="305"/>
      <c r="F52" s="296"/>
      <c r="G52" s="216">
        <f t="shared" si="1"/>
        <v>0</v>
      </c>
      <c r="H52" s="279">
        <f t="shared" si="2"/>
        <v>0</v>
      </c>
      <c r="I52" s="280"/>
      <c r="J52" s="202" t="e">
        <f>IF(I52=("Comisario"),(VLOOKUP(I52,'Simulador Piramide-Salarios'!$F$57:$J$74,5,0)),(IF(I52=("Inspector General"),(VLOOKUP(I52,'Simulador Piramide-Salarios'!$F$57:$J$74,5,0)),(IF(I52=("Subinspector"),(VLOOKUP(I52,'Simulador Piramide-Salarios'!$F$57:$J$74,5,0)),(IF(I52=("Inspector"),(VLOOKUP(I52,'Simulador Piramide-Salarios'!$F$57:$J$74,5,0)),(IF(I52=("Inspector Jefe"),(VLOOKUP(I52,'Simulador Piramide-Salarios'!$F$57:$J$74,5,0)),(IF((IF((VLOOKUP(I52,'Simulador Piramide-Salarios'!$F$57:$J$74,3,0))&gt;0,(VLOOKUP(I52,'Simulador Piramide-Salarios'!$F$57:$J$74,3,0)),(VLOOKUP(I52,'Simulador Piramide-Salarios'!$E$57:$J$74,5,0))))&gt;0,(IF((VLOOKUP(I52,'Simulador Piramide-Salarios'!$F$57:$J$74,3,0))&gt;0,(VLOOKUP(I52,'Simulador Piramide-Salarios'!$F$57:$J$74,3,0)),(VLOOKUP(I52,'Simulador Piramide-Salarios'!$E$57:$J$74,5,0)))),(VLOOKUP(I52,'Simulador Piramide-Salarios'!$D$57:$J$74,7,0)))))))))))))</f>
        <v>#N/A</v>
      </c>
      <c r="K52" s="200" t="e">
        <f t="shared" si="3"/>
        <v>#N/A</v>
      </c>
      <c r="L52" s="200" t="e">
        <f t="shared" si="4"/>
        <v>#N/A</v>
      </c>
      <c r="M52" s="211" t="e">
        <f t="shared" si="5"/>
        <v>#N/A</v>
      </c>
      <c r="N52" s="201" t="e">
        <f t="shared" si="6"/>
        <v>#N/A</v>
      </c>
      <c r="O52" s="198">
        <v>0</v>
      </c>
      <c r="P52" s="198">
        <v>0</v>
      </c>
      <c r="Q52" s="200" t="e">
        <f t="shared" si="7"/>
        <v>#N/A</v>
      </c>
      <c r="Z52" s="260"/>
    </row>
    <row r="53" spans="1:26" x14ac:dyDescent="0.25">
      <c r="A53" s="180">
        <f t="shared" si="0"/>
        <v>42</v>
      </c>
      <c r="B53" s="296"/>
      <c r="C53" s="306"/>
      <c r="D53" s="304"/>
      <c r="E53" s="305"/>
      <c r="F53" s="296"/>
      <c r="G53" s="216">
        <f t="shared" si="1"/>
        <v>0</v>
      </c>
      <c r="H53" s="279">
        <f t="shared" si="2"/>
        <v>0</v>
      </c>
      <c r="I53" s="280"/>
      <c r="J53" s="202" t="e">
        <f>IF(I53=("Comisario"),(VLOOKUP(I53,'Simulador Piramide-Salarios'!$F$57:$J$74,5,0)),(IF(I53=("Inspector General"),(VLOOKUP(I53,'Simulador Piramide-Salarios'!$F$57:$J$74,5,0)),(IF(I53=("Subinspector"),(VLOOKUP(I53,'Simulador Piramide-Salarios'!$F$57:$J$74,5,0)),(IF(I53=("Inspector"),(VLOOKUP(I53,'Simulador Piramide-Salarios'!$F$57:$J$74,5,0)),(IF(I53=("Inspector Jefe"),(VLOOKUP(I53,'Simulador Piramide-Salarios'!$F$57:$J$74,5,0)),(IF((IF((VLOOKUP(I53,'Simulador Piramide-Salarios'!$F$57:$J$74,3,0))&gt;0,(VLOOKUP(I53,'Simulador Piramide-Salarios'!$F$57:$J$74,3,0)),(VLOOKUP(I53,'Simulador Piramide-Salarios'!$E$57:$J$74,5,0))))&gt;0,(IF((VLOOKUP(I53,'Simulador Piramide-Salarios'!$F$57:$J$74,3,0))&gt;0,(VLOOKUP(I53,'Simulador Piramide-Salarios'!$F$57:$J$74,3,0)),(VLOOKUP(I53,'Simulador Piramide-Salarios'!$E$57:$J$74,5,0)))),(VLOOKUP(I53,'Simulador Piramide-Salarios'!$D$57:$J$74,7,0)))))))))))))</f>
        <v>#N/A</v>
      </c>
      <c r="K53" s="200" t="e">
        <f t="shared" si="3"/>
        <v>#N/A</v>
      </c>
      <c r="L53" s="200" t="e">
        <f t="shared" si="4"/>
        <v>#N/A</v>
      </c>
      <c r="M53" s="211" t="e">
        <f t="shared" si="5"/>
        <v>#N/A</v>
      </c>
      <c r="N53" s="201" t="e">
        <f t="shared" si="6"/>
        <v>#N/A</v>
      </c>
      <c r="O53" s="198">
        <v>0</v>
      </c>
      <c r="P53" s="198">
        <v>0</v>
      </c>
      <c r="Q53" s="200" t="e">
        <f t="shared" si="7"/>
        <v>#N/A</v>
      </c>
      <c r="Z53" s="260"/>
    </row>
    <row r="54" spans="1:26" x14ac:dyDescent="0.25">
      <c r="A54" s="180">
        <f t="shared" si="0"/>
        <v>43</v>
      </c>
      <c r="B54" s="296"/>
      <c r="C54" s="306"/>
      <c r="D54" s="304"/>
      <c r="E54" s="305"/>
      <c r="F54" s="296"/>
      <c r="G54" s="216">
        <f t="shared" si="1"/>
        <v>0</v>
      </c>
      <c r="H54" s="279">
        <f t="shared" si="2"/>
        <v>0</v>
      </c>
      <c r="I54" s="280"/>
      <c r="J54" s="202" t="e">
        <f>IF(I54=("Comisario"),(VLOOKUP(I54,'Simulador Piramide-Salarios'!$F$57:$J$74,5,0)),(IF(I54=("Inspector General"),(VLOOKUP(I54,'Simulador Piramide-Salarios'!$F$57:$J$74,5,0)),(IF(I54=("Subinspector"),(VLOOKUP(I54,'Simulador Piramide-Salarios'!$F$57:$J$74,5,0)),(IF(I54=("Inspector"),(VLOOKUP(I54,'Simulador Piramide-Salarios'!$F$57:$J$74,5,0)),(IF(I54=("Inspector Jefe"),(VLOOKUP(I54,'Simulador Piramide-Salarios'!$F$57:$J$74,5,0)),(IF((IF((VLOOKUP(I54,'Simulador Piramide-Salarios'!$F$57:$J$74,3,0))&gt;0,(VLOOKUP(I54,'Simulador Piramide-Salarios'!$F$57:$J$74,3,0)),(VLOOKUP(I54,'Simulador Piramide-Salarios'!$E$57:$J$74,5,0))))&gt;0,(IF((VLOOKUP(I54,'Simulador Piramide-Salarios'!$F$57:$J$74,3,0))&gt;0,(VLOOKUP(I54,'Simulador Piramide-Salarios'!$F$57:$J$74,3,0)),(VLOOKUP(I54,'Simulador Piramide-Salarios'!$E$57:$J$74,5,0)))),(VLOOKUP(I54,'Simulador Piramide-Salarios'!$D$57:$J$74,7,0)))))))))))))</f>
        <v>#N/A</v>
      </c>
      <c r="K54" s="200" t="e">
        <f t="shared" si="3"/>
        <v>#N/A</v>
      </c>
      <c r="L54" s="200" t="e">
        <f t="shared" si="4"/>
        <v>#N/A</v>
      </c>
      <c r="M54" s="211" t="e">
        <f t="shared" si="5"/>
        <v>#N/A</v>
      </c>
      <c r="N54" s="201" t="e">
        <f t="shared" si="6"/>
        <v>#N/A</v>
      </c>
      <c r="O54" s="198">
        <v>0</v>
      </c>
      <c r="P54" s="198">
        <v>0</v>
      </c>
      <c r="Q54" s="200" t="e">
        <f t="shared" si="7"/>
        <v>#N/A</v>
      </c>
      <c r="Z54" s="260"/>
    </row>
    <row r="55" spans="1:26" x14ac:dyDescent="0.25">
      <c r="A55" s="180">
        <f t="shared" si="0"/>
        <v>44</v>
      </c>
      <c r="B55" s="296"/>
      <c r="C55" s="306"/>
      <c r="D55" s="304"/>
      <c r="E55" s="305"/>
      <c r="F55" s="296"/>
      <c r="G55" s="216">
        <f t="shared" si="1"/>
        <v>0</v>
      </c>
      <c r="H55" s="279">
        <f t="shared" si="2"/>
        <v>0</v>
      </c>
      <c r="I55" s="280"/>
      <c r="J55" s="202" t="e">
        <f>IF(I55=("Comisario"),(VLOOKUP(I55,'Simulador Piramide-Salarios'!$F$57:$J$74,5,0)),(IF(I55=("Inspector General"),(VLOOKUP(I55,'Simulador Piramide-Salarios'!$F$57:$J$74,5,0)),(IF(I55=("Subinspector"),(VLOOKUP(I55,'Simulador Piramide-Salarios'!$F$57:$J$74,5,0)),(IF(I55=("Inspector"),(VLOOKUP(I55,'Simulador Piramide-Salarios'!$F$57:$J$74,5,0)),(IF(I55=("Inspector Jefe"),(VLOOKUP(I55,'Simulador Piramide-Salarios'!$F$57:$J$74,5,0)),(IF((IF((VLOOKUP(I55,'Simulador Piramide-Salarios'!$F$57:$J$74,3,0))&gt;0,(VLOOKUP(I55,'Simulador Piramide-Salarios'!$F$57:$J$74,3,0)),(VLOOKUP(I55,'Simulador Piramide-Salarios'!$E$57:$J$74,5,0))))&gt;0,(IF((VLOOKUP(I55,'Simulador Piramide-Salarios'!$F$57:$J$74,3,0))&gt;0,(VLOOKUP(I55,'Simulador Piramide-Salarios'!$F$57:$J$74,3,0)),(VLOOKUP(I55,'Simulador Piramide-Salarios'!$E$57:$J$74,5,0)))),(VLOOKUP(I55,'Simulador Piramide-Salarios'!$D$57:$J$74,7,0)))))))))))))</f>
        <v>#N/A</v>
      </c>
      <c r="K55" s="200" t="e">
        <f t="shared" si="3"/>
        <v>#N/A</v>
      </c>
      <c r="L55" s="200" t="e">
        <f t="shared" si="4"/>
        <v>#N/A</v>
      </c>
      <c r="M55" s="211" t="e">
        <f t="shared" si="5"/>
        <v>#N/A</v>
      </c>
      <c r="N55" s="201" t="e">
        <f t="shared" si="6"/>
        <v>#N/A</v>
      </c>
      <c r="O55" s="198">
        <v>0</v>
      </c>
      <c r="P55" s="198">
        <v>0</v>
      </c>
      <c r="Q55" s="200" t="e">
        <f t="shared" si="7"/>
        <v>#N/A</v>
      </c>
      <c r="Z55" s="260"/>
    </row>
    <row r="56" spans="1:26" x14ac:dyDescent="0.25">
      <c r="A56" s="180">
        <f t="shared" si="0"/>
        <v>45</v>
      </c>
      <c r="B56" s="296"/>
      <c r="C56" s="306"/>
      <c r="D56" s="304"/>
      <c r="E56" s="305"/>
      <c r="F56" s="296"/>
      <c r="G56" s="216">
        <f t="shared" si="1"/>
        <v>0</v>
      </c>
      <c r="H56" s="279">
        <f t="shared" si="2"/>
        <v>0</v>
      </c>
      <c r="I56" s="280"/>
      <c r="J56" s="202" t="e">
        <f>IF(I56=("Comisario"),(VLOOKUP(I56,'Simulador Piramide-Salarios'!$F$57:$J$74,5,0)),(IF(I56=("Inspector General"),(VLOOKUP(I56,'Simulador Piramide-Salarios'!$F$57:$J$74,5,0)),(IF(I56=("Subinspector"),(VLOOKUP(I56,'Simulador Piramide-Salarios'!$F$57:$J$74,5,0)),(IF(I56=("Inspector"),(VLOOKUP(I56,'Simulador Piramide-Salarios'!$F$57:$J$74,5,0)),(IF(I56=("Inspector Jefe"),(VLOOKUP(I56,'Simulador Piramide-Salarios'!$F$57:$J$74,5,0)),(IF((IF((VLOOKUP(I56,'Simulador Piramide-Salarios'!$F$57:$J$74,3,0))&gt;0,(VLOOKUP(I56,'Simulador Piramide-Salarios'!$F$57:$J$74,3,0)),(VLOOKUP(I56,'Simulador Piramide-Salarios'!$E$57:$J$74,5,0))))&gt;0,(IF((VLOOKUP(I56,'Simulador Piramide-Salarios'!$F$57:$J$74,3,0))&gt;0,(VLOOKUP(I56,'Simulador Piramide-Salarios'!$F$57:$J$74,3,0)),(VLOOKUP(I56,'Simulador Piramide-Salarios'!$E$57:$J$74,5,0)))),(VLOOKUP(I56,'Simulador Piramide-Salarios'!$D$57:$J$74,7,0)))))))))))))</f>
        <v>#N/A</v>
      </c>
      <c r="K56" s="200" t="e">
        <f t="shared" si="3"/>
        <v>#N/A</v>
      </c>
      <c r="L56" s="200" t="e">
        <f t="shared" si="4"/>
        <v>#N/A</v>
      </c>
      <c r="M56" s="211" t="e">
        <f t="shared" si="5"/>
        <v>#N/A</v>
      </c>
      <c r="N56" s="201" t="e">
        <f t="shared" si="6"/>
        <v>#N/A</v>
      </c>
      <c r="O56" s="198">
        <v>0</v>
      </c>
      <c r="P56" s="198">
        <v>0</v>
      </c>
      <c r="Q56" s="200" t="e">
        <f t="shared" si="7"/>
        <v>#N/A</v>
      </c>
      <c r="Z56" s="260"/>
    </row>
    <row r="57" spans="1:26" x14ac:dyDescent="0.25">
      <c r="A57" s="180">
        <f t="shared" si="0"/>
        <v>46</v>
      </c>
      <c r="B57" s="296"/>
      <c r="C57" s="306"/>
      <c r="D57" s="304"/>
      <c r="E57" s="305"/>
      <c r="F57" s="296"/>
      <c r="G57" s="216">
        <f t="shared" si="1"/>
        <v>0</v>
      </c>
      <c r="H57" s="279">
        <f t="shared" si="2"/>
        <v>0</v>
      </c>
      <c r="I57" s="280"/>
      <c r="J57" s="202" t="e">
        <f>IF(I57=("Comisario"),(VLOOKUP(I57,'Simulador Piramide-Salarios'!$F$57:$J$74,5,0)),(IF(I57=("Inspector General"),(VLOOKUP(I57,'Simulador Piramide-Salarios'!$F$57:$J$74,5,0)),(IF(I57=("Subinspector"),(VLOOKUP(I57,'Simulador Piramide-Salarios'!$F$57:$J$74,5,0)),(IF(I57=("Inspector"),(VLOOKUP(I57,'Simulador Piramide-Salarios'!$F$57:$J$74,5,0)),(IF(I57=("Inspector Jefe"),(VLOOKUP(I57,'Simulador Piramide-Salarios'!$F$57:$J$74,5,0)),(IF((IF((VLOOKUP(I57,'Simulador Piramide-Salarios'!$F$57:$J$74,3,0))&gt;0,(VLOOKUP(I57,'Simulador Piramide-Salarios'!$F$57:$J$74,3,0)),(VLOOKUP(I57,'Simulador Piramide-Salarios'!$E$57:$J$74,5,0))))&gt;0,(IF((VLOOKUP(I57,'Simulador Piramide-Salarios'!$F$57:$J$74,3,0))&gt;0,(VLOOKUP(I57,'Simulador Piramide-Salarios'!$F$57:$J$74,3,0)),(VLOOKUP(I57,'Simulador Piramide-Salarios'!$E$57:$J$74,5,0)))),(VLOOKUP(I57,'Simulador Piramide-Salarios'!$D$57:$J$74,7,0)))))))))))))</f>
        <v>#N/A</v>
      </c>
      <c r="K57" s="200" t="e">
        <f t="shared" si="3"/>
        <v>#N/A</v>
      </c>
      <c r="L57" s="200" t="e">
        <f t="shared" si="4"/>
        <v>#N/A</v>
      </c>
      <c r="M57" s="211" t="e">
        <f t="shared" si="5"/>
        <v>#N/A</v>
      </c>
      <c r="N57" s="201" t="e">
        <f t="shared" si="6"/>
        <v>#N/A</v>
      </c>
      <c r="O57" s="198">
        <v>0</v>
      </c>
      <c r="P57" s="198">
        <v>0</v>
      </c>
      <c r="Q57" s="200" t="e">
        <f t="shared" si="7"/>
        <v>#N/A</v>
      </c>
      <c r="Z57" s="260"/>
    </row>
    <row r="58" spans="1:26" x14ac:dyDescent="0.25">
      <c r="A58" s="180">
        <f t="shared" si="0"/>
        <v>47</v>
      </c>
      <c r="B58" s="296"/>
      <c r="C58" s="306"/>
      <c r="D58" s="304"/>
      <c r="E58" s="305"/>
      <c r="F58" s="296"/>
      <c r="G58" s="216">
        <f t="shared" si="1"/>
        <v>0</v>
      </c>
      <c r="H58" s="279">
        <f t="shared" si="2"/>
        <v>0</v>
      </c>
      <c r="I58" s="280"/>
      <c r="J58" s="202" t="e">
        <f>IF(I58=("Comisario"),(VLOOKUP(I58,'Simulador Piramide-Salarios'!$F$57:$J$74,5,0)),(IF(I58=("Inspector General"),(VLOOKUP(I58,'Simulador Piramide-Salarios'!$F$57:$J$74,5,0)),(IF(I58=("Subinspector"),(VLOOKUP(I58,'Simulador Piramide-Salarios'!$F$57:$J$74,5,0)),(IF(I58=("Inspector"),(VLOOKUP(I58,'Simulador Piramide-Salarios'!$F$57:$J$74,5,0)),(IF(I58=("Inspector Jefe"),(VLOOKUP(I58,'Simulador Piramide-Salarios'!$F$57:$J$74,5,0)),(IF((IF((VLOOKUP(I58,'Simulador Piramide-Salarios'!$F$57:$J$74,3,0))&gt;0,(VLOOKUP(I58,'Simulador Piramide-Salarios'!$F$57:$J$74,3,0)),(VLOOKUP(I58,'Simulador Piramide-Salarios'!$E$57:$J$74,5,0))))&gt;0,(IF((VLOOKUP(I58,'Simulador Piramide-Salarios'!$F$57:$J$74,3,0))&gt;0,(VLOOKUP(I58,'Simulador Piramide-Salarios'!$F$57:$J$74,3,0)),(VLOOKUP(I58,'Simulador Piramide-Salarios'!$E$57:$J$74,5,0)))),(VLOOKUP(I58,'Simulador Piramide-Salarios'!$D$57:$J$74,7,0)))))))))))))</f>
        <v>#N/A</v>
      </c>
      <c r="K58" s="200" t="e">
        <f t="shared" si="3"/>
        <v>#N/A</v>
      </c>
      <c r="L58" s="200" t="e">
        <f t="shared" si="4"/>
        <v>#N/A</v>
      </c>
      <c r="M58" s="211" t="e">
        <f t="shared" si="5"/>
        <v>#N/A</v>
      </c>
      <c r="N58" s="201" t="e">
        <f t="shared" si="6"/>
        <v>#N/A</v>
      </c>
      <c r="O58" s="198">
        <v>0</v>
      </c>
      <c r="P58" s="198">
        <v>0</v>
      </c>
      <c r="Q58" s="200" t="e">
        <f t="shared" si="7"/>
        <v>#N/A</v>
      </c>
      <c r="Z58" s="260"/>
    </row>
    <row r="59" spans="1:26" x14ac:dyDescent="0.25">
      <c r="A59" s="180">
        <f t="shared" si="0"/>
        <v>48</v>
      </c>
      <c r="B59" s="296"/>
      <c r="C59" s="306"/>
      <c r="D59" s="304"/>
      <c r="E59" s="305"/>
      <c r="F59" s="296"/>
      <c r="G59" s="216">
        <f t="shared" si="1"/>
        <v>0</v>
      </c>
      <c r="H59" s="279">
        <f t="shared" si="2"/>
        <v>0</v>
      </c>
      <c r="I59" s="280"/>
      <c r="J59" s="202" t="e">
        <f>IF(I59=("Comisario"),(VLOOKUP(I59,'Simulador Piramide-Salarios'!$F$57:$J$74,5,0)),(IF(I59=("Inspector General"),(VLOOKUP(I59,'Simulador Piramide-Salarios'!$F$57:$J$74,5,0)),(IF(I59=("Subinspector"),(VLOOKUP(I59,'Simulador Piramide-Salarios'!$F$57:$J$74,5,0)),(IF(I59=("Inspector"),(VLOOKUP(I59,'Simulador Piramide-Salarios'!$F$57:$J$74,5,0)),(IF(I59=("Inspector Jefe"),(VLOOKUP(I59,'Simulador Piramide-Salarios'!$F$57:$J$74,5,0)),(IF((IF((VLOOKUP(I59,'Simulador Piramide-Salarios'!$F$57:$J$74,3,0))&gt;0,(VLOOKUP(I59,'Simulador Piramide-Salarios'!$F$57:$J$74,3,0)),(VLOOKUP(I59,'Simulador Piramide-Salarios'!$E$57:$J$74,5,0))))&gt;0,(IF((VLOOKUP(I59,'Simulador Piramide-Salarios'!$F$57:$J$74,3,0))&gt;0,(VLOOKUP(I59,'Simulador Piramide-Salarios'!$F$57:$J$74,3,0)),(VLOOKUP(I59,'Simulador Piramide-Salarios'!$E$57:$J$74,5,0)))),(VLOOKUP(I59,'Simulador Piramide-Salarios'!$D$57:$J$74,7,0)))))))))))))</f>
        <v>#N/A</v>
      </c>
      <c r="K59" s="200" t="e">
        <f t="shared" si="3"/>
        <v>#N/A</v>
      </c>
      <c r="L59" s="200" t="e">
        <f t="shared" si="4"/>
        <v>#N/A</v>
      </c>
      <c r="M59" s="211" t="e">
        <f t="shared" si="5"/>
        <v>#N/A</v>
      </c>
      <c r="N59" s="201" t="e">
        <f t="shared" si="6"/>
        <v>#N/A</v>
      </c>
      <c r="O59" s="198">
        <v>0</v>
      </c>
      <c r="P59" s="198">
        <v>0</v>
      </c>
      <c r="Q59" s="200" t="e">
        <f t="shared" si="7"/>
        <v>#N/A</v>
      </c>
      <c r="Z59" s="260"/>
    </row>
    <row r="60" spans="1:26" x14ac:dyDescent="0.25">
      <c r="A60" s="180">
        <f t="shared" si="0"/>
        <v>49</v>
      </c>
      <c r="B60" s="296"/>
      <c r="C60" s="306"/>
      <c r="D60" s="304"/>
      <c r="E60" s="305"/>
      <c r="F60" s="296"/>
      <c r="G60" s="216">
        <f t="shared" si="1"/>
        <v>0</v>
      </c>
      <c r="H60" s="279">
        <f t="shared" si="2"/>
        <v>0</v>
      </c>
      <c r="I60" s="280"/>
      <c r="J60" s="202" t="e">
        <f>IF(I60=("Comisario"),(VLOOKUP(I60,'Simulador Piramide-Salarios'!$F$57:$J$74,5,0)),(IF(I60=("Inspector General"),(VLOOKUP(I60,'Simulador Piramide-Salarios'!$F$57:$J$74,5,0)),(IF(I60=("Subinspector"),(VLOOKUP(I60,'Simulador Piramide-Salarios'!$F$57:$J$74,5,0)),(IF(I60=("Inspector"),(VLOOKUP(I60,'Simulador Piramide-Salarios'!$F$57:$J$74,5,0)),(IF(I60=("Inspector Jefe"),(VLOOKUP(I60,'Simulador Piramide-Salarios'!$F$57:$J$74,5,0)),(IF((IF((VLOOKUP(I60,'Simulador Piramide-Salarios'!$F$57:$J$74,3,0))&gt;0,(VLOOKUP(I60,'Simulador Piramide-Salarios'!$F$57:$J$74,3,0)),(VLOOKUP(I60,'Simulador Piramide-Salarios'!$E$57:$J$74,5,0))))&gt;0,(IF((VLOOKUP(I60,'Simulador Piramide-Salarios'!$F$57:$J$74,3,0))&gt;0,(VLOOKUP(I60,'Simulador Piramide-Salarios'!$F$57:$J$74,3,0)),(VLOOKUP(I60,'Simulador Piramide-Salarios'!$E$57:$J$74,5,0)))),(VLOOKUP(I60,'Simulador Piramide-Salarios'!$D$57:$J$74,7,0)))))))))))))</f>
        <v>#N/A</v>
      </c>
      <c r="K60" s="200" t="e">
        <f t="shared" si="3"/>
        <v>#N/A</v>
      </c>
      <c r="L60" s="200" t="e">
        <f t="shared" si="4"/>
        <v>#N/A</v>
      </c>
      <c r="M60" s="211" t="e">
        <f t="shared" si="5"/>
        <v>#N/A</v>
      </c>
      <c r="N60" s="201" t="e">
        <f t="shared" si="6"/>
        <v>#N/A</v>
      </c>
      <c r="O60" s="198">
        <v>0</v>
      </c>
      <c r="P60" s="198">
        <v>0</v>
      </c>
      <c r="Q60" s="200" t="e">
        <f t="shared" si="7"/>
        <v>#N/A</v>
      </c>
      <c r="Z60" s="260"/>
    </row>
    <row r="61" spans="1:26" x14ac:dyDescent="0.25">
      <c r="A61" s="180">
        <f t="shared" si="0"/>
        <v>50</v>
      </c>
      <c r="B61" s="296"/>
      <c r="C61" s="306"/>
      <c r="D61" s="304"/>
      <c r="E61" s="305"/>
      <c r="F61" s="296"/>
      <c r="G61" s="216">
        <f t="shared" si="1"/>
        <v>0</v>
      </c>
      <c r="H61" s="279">
        <f t="shared" si="2"/>
        <v>0</v>
      </c>
      <c r="I61" s="280"/>
      <c r="J61" s="202" t="e">
        <f>IF(I61=("Comisario"),(VLOOKUP(I61,'Simulador Piramide-Salarios'!$F$57:$J$74,5,0)),(IF(I61=("Inspector General"),(VLOOKUP(I61,'Simulador Piramide-Salarios'!$F$57:$J$74,5,0)),(IF(I61=("Subinspector"),(VLOOKUP(I61,'Simulador Piramide-Salarios'!$F$57:$J$74,5,0)),(IF(I61=("Inspector"),(VLOOKUP(I61,'Simulador Piramide-Salarios'!$F$57:$J$74,5,0)),(IF(I61=("Inspector Jefe"),(VLOOKUP(I61,'Simulador Piramide-Salarios'!$F$57:$J$74,5,0)),(IF((IF((VLOOKUP(I61,'Simulador Piramide-Salarios'!$F$57:$J$74,3,0))&gt;0,(VLOOKUP(I61,'Simulador Piramide-Salarios'!$F$57:$J$74,3,0)),(VLOOKUP(I61,'Simulador Piramide-Salarios'!$E$57:$J$74,5,0))))&gt;0,(IF((VLOOKUP(I61,'Simulador Piramide-Salarios'!$F$57:$J$74,3,0))&gt;0,(VLOOKUP(I61,'Simulador Piramide-Salarios'!$F$57:$J$74,3,0)),(VLOOKUP(I61,'Simulador Piramide-Salarios'!$E$57:$J$74,5,0)))),(VLOOKUP(I61,'Simulador Piramide-Salarios'!$D$57:$J$74,7,0)))))))))))))</f>
        <v>#N/A</v>
      </c>
      <c r="K61" s="200" t="e">
        <f t="shared" si="3"/>
        <v>#N/A</v>
      </c>
      <c r="L61" s="200" t="e">
        <f t="shared" si="4"/>
        <v>#N/A</v>
      </c>
      <c r="M61" s="211" t="e">
        <f t="shared" si="5"/>
        <v>#N/A</v>
      </c>
      <c r="N61" s="201" t="e">
        <f t="shared" si="6"/>
        <v>#N/A</v>
      </c>
      <c r="O61" s="198">
        <v>0</v>
      </c>
      <c r="P61" s="198">
        <v>0</v>
      </c>
      <c r="Q61" s="200" t="e">
        <f t="shared" si="7"/>
        <v>#N/A</v>
      </c>
      <c r="Z61" s="260"/>
    </row>
    <row r="62" spans="1:26" x14ac:dyDescent="0.25">
      <c r="A62" s="180">
        <f t="shared" si="0"/>
        <v>51</v>
      </c>
      <c r="B62" s="296"/>
      <c r="C62" s="306"/>
      <c r="D62" s="304"/>
      <c r="E62" s="305"/>
      <c r="F62" s="296"/>
      <c r="G62" s="216">
        <f t="shared" si="1"/>
        <v>0</v>
      </c>
      <c r="H62" s="279">
        <f t="shared" si="2"/>
        <v>0</v>
      </c>
      <c r="I62" s="280"/>
      <c r="J62" s="202" t="e">
        <f>IF(I62=("Comisario"),(VLOOKUP(I62,'Simulador Piramide-Salarios'!$F$57:$J$74,5,0)),(IF(I62=("Inspector General"),(VLOOKUP(I62,'Simulador Piramide-Salarios'!$F$57:$J$74,5,0)),(IF(I62=("Subinspector"),(VLOOKUP(I62,'Simulador Piramide-Salarios'!$F$57:$J$74,5,0)),(IF(I62=("Inspector"),(VLOOKUP(I62,'Simulador Piramide-Salarios'!$F$57:$J$74,5,0)),(IF(I62=("Inspector Jefe"),(VLOOKUP(I62,'Simulador Piramide-Salarios'!$F$57:$J$74,5,0)),(IF((IF((VLOOKUP(I62,'Simulador Piramide-Salarios'!$F$57:$J$74,3,0))&gt;0,(VLOOKUP(I62,'Simulador Piramide-Salarios'!$F$57:$J$74,3,0)),(VLOOKUP(I62,'Simulador Piramide-Salarios'!$E$57:$J$74,5,0))))&gt;0,(IF((VLOOKUP(I62,'Simulador Piramide-Salarios'!$F$57:$J$74,3,0))&gt;0,(VLOOKUP(I62,'Simulador Piramide-Salarios'!$F$57:$J$74,3,0)),(VLOOKUP(I62,'Simulador Piramide-Salarios'!$E$57:$J$74,5,0)))),(VLOOKUP(I62,'Simulador Piramide-Salarios'!$D$57:$J$74,7,0)))))))))))))</f>
        <v>#N/A</v>
      </c>
      <c r="K62" s="200" t="e">
        <f t="shared" si="3"/>
        <v>#N/A</v>
      </c>
      <c r="L62" s="200" t="e">
        <f t="shared" si="4"/>
        <v>#N/A</v>
      </c>
      <c r="M62" s="211" t="e">
        <f t="shared" si="5"/>
        <v>#N/A</v>
      </c>
      <c r="N62" s="201" t="e">
        <f t="shared" si="6"/>
        <v>#N/A</v>
      </c>
      <c r="O62" s="198">
        <v>0</v>
      </c>
      <c r="P62" s="198">
        <v>0</v>
      </c>
      <c r="Q62" s="200" t="e">
        <f t="shared" si="7"/>
        <v>#N/A</v>
      </c>
      <c r="Z62" s="260"/>
    </row>
    <row r="63" spans="1:26" x14ac:dyDescent="0.25">
      <c r="A63" s="180">
        <f t="shared" si="0"/>
        <v>52</v>
      </c>
      <c r="B63" s="296"/>
      <c r="C63" s="306"/>
      <c r="D63" s="304"/>
      <c r="E63" s="305"/>
      <c r="F63" s="296"/>
      <c r="G63" s="216">
        <f t="shared" si="1"/>
        <v>0</v>
      </c>
      <c r="H63" s="279">
        <f t="shared" si="2"/>
        <v>0</v>
      </c>
      <c r="I63" s="280"/>
      <c r="J63" s="202" t="e">
        <f>IF(I63=("Comisario"),(VLOOKUP(I63,'Simulador Piramide-Salarios'!$F$57:$J$74,5,0)),(IF(I63=("Inspector General"),(VLOOKUP(I63,'Simulador Piramide-Salarios'!$F$57:$J$74,5,0)),(IF(I63=("Subinspector"),(VLOOKUP(I63,'Simulador Piramide-Salarios'!$F$57:$J$74,5,0)),(IF(I63=("Inspector"),(VLOOKUP(I63,'Simulador Piramide-Salarios'!$F$57:$J$74,5,0)),(IF(I63=("Inspector Jefe"),(VLOOKUP(I63,'Simulador Piramide-Salarios'!$F$57:$J$74,5,0)),(IF((IF((VLOOKUP(I63,'Simulador Piramide-Salarios'!$F$57:$J$74,3,0))&gt;0,(VLOOKUP(I63,'Simulador Piramide-Salarios'!$F$57:$J$74,3,0)),(VLOOKUP(I63,'Simulador Piramide-Salarios'!$E$57:$J$74,5,0))))&gt;0,(IF((VLOOKUP(I63,'Simulador Piramide-Salarios'!$F$57:$J$74,3,0))&gt;0,(VLOOKUP(I63,'Simulador Piramide-Salarios'!$F$57:$J$74,3,0)),(VLOOKUP(I63,'Simulador Piramide-Salarios'!$E$57:$J$74,5,0)))),(VLOOKUP(I63,'Simulador Piramide-Salarios'!$D$57:$J$74,7,0)))))))))))))</f>
        <v>#N/A</v>
      </c>
      <c r="K63" s="200" t="e">
        <f t="shared" si="3"/>
        <v>#N/A</v>
      </c>
      <c r="L63" s="200" t="e">
        <f t="shared" si="4"/>
        <v>#N/A</v>
      </c>
      <c r="M63" s="211" t="e">
        <f t="shared" si="5"/>
        <v>#N/A</v>
      </c>
      <c r="N63" s="201" t="e">
        <f t="shared" si="6"/>
        <v>#N/A</v>
      </c>
      <c r="O63" s="198">
        <v>0</v>
      </c>
      <c r="P63" s="198">
        <v>0</v>
      </c>
      <c r="Q63" s="200" t="e">
        <f t="shared" si="7"/>
        <v>#N/A</v>
      </c>
      <c r="Z63" s="260"/>
    </row>
    <row r="64" spans="1:26" x14ac:dyDescent="0.25">
      <c r="A64" s="180">
        <f t="shared" si="0"/>
        <v>53</v>
      </c>
      <c r="B64" s="296"/>
      <c r="C64" s="306"/>
      <c r="D64" s="304"/>
      <c r="E64" s="305"/>
      <c r="F64" s="296"/>
      <c r="G64" s="216">
        <f t="shared" si="1"/>
        <v>0</v>
      </c>
      <c r="H64" s="279">
        <f t="shared" si="2"/>
        <v>0</v>
      </c>
      <c r="I64" s="280"/>
      <c r="J64" s="202" t="e">
        <f>IF(I64=("Comisario"),(VLOOKUP(I64,'Simulador Piramide-Salarios'!$F$57:$J$74,5,0)),(IF(I64=("Inspector General"),(VLOOKUP(I64,'Simulador Piramide-Salarios'!$F$57:$J$74,5,0)),(IF(I64=("Subinspector"),(VLOOKUP(I64,'Simulador Piramide-Salarios'!$F$57:$J$74,5,0)),(IF(I64=("Inspector"),(VLOOKUP(I64,'Simulador Piramide-Salarios'!$F$57:$J$74,5,0)),(IF(I64=("Inspector Jefe"),(VLOOKUP(I64,'Simulador Piramide-Salarios'!$F$57:$J$74,5,0)),(IF((IF((VLOOKUP(I64,'Simulador Piramide-Salarios'!$F$57:$J$74,3,0))&gt;0,(VLOOKUP(I64,'Simulador Piramide-Salarios'!$F$57:$J$74,3,0)),(VLOOKUP(I64,'Simulador Piramide-Salarios'!$E$57:$J$74,5,0))))&gt;0,(IF((VLOOKUP(I64,'Simulador Piramide-Salarios'!$F$57:$J$74,3,0))&gt;0,(VLOOKUP(I64,'Simulador Piramide-Salarios'!$F$57:$J$74,3,0)),(VLOOKUP(I64,'Simulador Piramide-Salarios'!$E$57:$J$74,5,0)))),(VLOOKUP(I64,'Simulador Piramide-Salarios'!$D$57:$J$74,7,0)))))))))))))</f>
        <v>#N/A</v>
      </c>
      <c r="K64" s="200" t="e">
        <f t="shared" si="3"/>
        <v>#N/A</v>
      </c>
      <c r="L64" s="200" t="e">
        <f t="shared" si="4"/>
        <v>#N/A</v>
      </c>
      <c r="M64" s="211" t="e">
        <f t="shared" si="5"/>
        <v>#N/A</v>
      </c>
      <c r="N64" s="201" t="e">
        <f t="shared" si="6"/>
        <v>#N/A</v>
      </c>
      <c r="O64" s="198">
        <v>0</v>
      </c>
      <c r="P64" s="198">
        <v>0</v>
      </c>
      <c r="Q64" s="200" t="e">
        <f t="shared" si="7"/>
        <v>#N/A</v>
      </c>
      <c r="Z64" s="260"/>
    </row>
    <row r="65" spans="1:26" x14ac:dyDescent="0.25">
      <c r="A65" s="180">
        <f t="shared" si="0"/>
        <v>54</v>
      </c>
      <c r="B65" s="296"/>
      <c r="C65" s="306"/>
      <c r="D65" s="304"/>
      <c r="E65" s="305"/>
      <c r="F65" s="296"/>
      <c r="G65" s="216">
        <f t="shared" si="1"/>
        <v>0</v>
      </c>
      <c r="H65" s="279">
        <f t="shared" si="2"/>
        <v>0</v>
      </c>
      <c r="I65" s="280"/>
      <c r="J65" s="202" t="e">
        <f>IF(I65=("Comisario"),(VLOOKUP(I65,'Simulador Piramide-Salarios'!$F$57:$J$74,5,0)),(IF(I65=("Inspector General"),(VLOOKUP(I65,'Simulador Piramide-Salarios'!$F$57:$J$74,5,0)),(IF(I65=("Subinspector"),(VLOOKUP(I65,'Simulador Piramide-Salarios'!$F$57:$J$74,5,0)),(IF(I65=("Inspector"),(VLOOKUP(I65,'Simulador Piramide-Salarios'!$F$57:$J$74,5,0)),(IF(I65=("Inspector Jefe"),(VLOOKUP(I65,'Simulador Piramide-Salarios'!$F$57:$J$74,5,0)),(IF((IF((VLOOKUP(I65,'Simulador Piramide-Salarios'!$F$57:$J$74,3,0))&gt;0,(VLOOKUP(I65,'Simulador Piramide-Salarios'!$F$57:$J$74,3,0)),(VLOOKUP(I65,'Simulador Piramide-Salarios'!$E$57:$J$74,5,0))))&gt;0,(IF((VLOOKUP(I65,'Simulador Piramide-Salarios'!$F$57:$J$74,3,0))&gt;0,(VLOOKUP(I65,'Simulador Piramide-Salarios'!$F$57:$J$74,3,0)),(VLOOKUP(I65,'Simulador Piramide-Salarios'!$E$57:$J$74,5,0)))),(VLOOKUP(I65,'Simulador Piramide-Salarios'!$D$57:$J$74,7,0)))))))))))))</f>
        <v>#N/A</v>
      </c>
      <c r="K65" s="200" t="e">
        <f t="shared" si="3"/>
        <v>#N/A</v>
      </c>
      <c r="L65" s="200" t="e">
        <f t="shared" si="4"/>
        <v>#N/A</v>
      </c>
      <c r="M65" s="211" t="e">
        <f t="shared" si="5"/>
        <v>#N/A</v>
      </c>
      <c r="N65" s="201" t="e">
        <f t="shared" si="6"/>
        <v>#N/A</v>
      </c>
      <c r="O65" s="198">
        <v>0</v>
      </c>
      <c r="P65" s="198">
        <v>0</v>
      </c>
      <c r="Q65" s="200" t="e">
        <f t="shared" si="7"/>
        <v>#N/A</v>
      </c>
      <c r="Z65" s="260"/>
    </row>
    <row r="66" spans="1:26" x14ac:dyDescent="0.25">
      <c r="A66" s="180">
        <f t="shared" si="0"/>
        <v>55</v>
      </c>
      <c r="B66" s="296"/>
      <c r="C66" s="306"/>
      <c r="D66" s="304"/>
      <c r="E66" s="305"/>
      <c r="F66" s="296"/>
      <c r="G66" s="216">
        <f t="shared" si="1"/>
        <v>0</v>
      </c>
      <c r="H66" s="279">
        <f t="shared" si="2"/>
        <v>0</v>
      </c>
      <c r="I66" s="280"/>
      <c r="J66" s="202" t="e">
        <f>IF(I66=("Comisario"),(VLOOKUP(I66,'Simulador Piramide-Salarios'!$F$57:$J$74,5,0)),(IF(I66=("Inspector General"),(VLOOKUP(I66,'Simulador Piramide-Salarios'!$F$57:$J$74,5,0)),(IF(I66=("Subinspector"),(VLOOKUP(I66,'Simulador Piramide-Salarios'!$F$57:$J$74,5,0)),(IF(I66=("Inspector"),(VLOOKUP(I66,'Simulador Piramide-Salarios'!$F$57:$J$74,5,0)),(IF(I66=("Inspector Jefe"),(VLOOKUP(I66,'Simulador Piramide-Salarios'!$F$57:$J$74,5,0)),(IF((IF((VLOOKUP(I66,'Simulador Piramide-Salarios'!$F$57:$J$74,3,0))&gt;0,(VLOOKUP(I66,'Simulador Piramide-Salarios'!$F$57:$J$74,3,0)),(VLOOKUP(I66,'Simulador Piramide-Salarios'!$E$57:$J$74,5,0))))&gt;0,(IF((VLOOKUP(I66,'Simulador Piramide-Salarios'!$F$57:$J$74,3,0))&gt;0,(VLOOKUP(I66,'Simulador Piramide-Salarios'!$F$57:$J$74,3,0)),(VLOOKUP(I66,'Simulador Piramide-Salarios'!$E$57:$J$74,5,0)))),(VLOOKUP(I66,'Simulador Piramide-Salarios'!$D$57:$J$74,7,0)))))))))))))</f>
        <v>#N/A</v>
      </c>
      <c r="K66" s="200" t="e">
        <f t="shared" si="3"/>
        <v>#N/A</v>
      </c>
      <c r="L66" s="200" t="e">
        <f t="shared" si="4"/>
        <v>#N/A</v>
      </c>
      <c r="M66" s="211" t="e">
        <f t="shared" si="5"/>
        <v>#N/A</v>
      </c>
      <c r="N66" s="201" t="e">
        <f t="shared" si="6"/>
        <v>#N/A</v>
      </c>
      <c r="O66" s="198">
        <v>0</v>
      </c>
      <c r="P66" s="198">
        <v>0</v>
      </c>
      <c r="Q66" s="200" t="e">
        <f t="shared" si="7"/>
        <v>#N/A</v>
      </c>
      <c r="Z66" s="260"/>
    </row>
    <row r="67" spans="1:26" x14ac:dyDescent="0.25">
      <c r="A67" s="180">
        <f t="shared" si="0"/>
        <v>56</v>
      </c>
      <c r="B67" s="296"/>
      <c r="C67" s="306"/>
      <c r="D67" s="304"/>
      <c r="E67" s="305"/>
      <c r="F67" s="296"/>
      <c r="G67" s="216">
        <f t="shared" si="1"/>
        <v>0</v>
      </c>
      <c r="H67" s="279">
        <f t="shared" si="2"/>
        <v>0</v>
      </c>
      <c r="I67" s="280"/>
      <c r="J67" s="202" t="e">
        <f>IF(I67=("Comisario"),(VLOOKUP(I67,'Simulador Piramide-Salarios'!$F$57:$J$74,5,0)),(IF(I67=("Inspector General"),(VLOOKUP(I67,'Simulador Piramide-Salarios'!$F$57:$J$74,5,0)),(IF(I67=("Subinspector"),(VLOOKUP(I67,'Simulador Piramide-Salarios'!$F$57:$J$74,5,0)),(IF(I67=("Inspector"),(VLOOKUP(I67,'Simulador Piramide-Salarios'!$F$57:$J$74,5,0)),(IF(I67=("Inspector Jefe"),(VLOOKUP(I67,'Simulador Piramide-Salarios'!$F$57:$J$74,5,0)),(IF((IF((VLOOKUP(I67,'Simulador Piramide-Salarios'!$F$57:$J$74,3,0))&gt;0,(VLOOKUP(I67,'Simulador Piramide-Salarios'!$F$57:$J$74,3,0)),(VLOOKUP(I67,'Simulador Piramide-Salarios'!$E$57:$J$74,5,0))))&gt;0,(IF((VLOOKUP(I67,'Simulador Piramide-Salarios'!$F$57:$J$74,3,0))&gt;0,(VLOOKUP(I67,'Simulador Piramide-Salarios'!$F$57:$J$74,3,0)),(VLOOKUP(I67,'Simulador Piramide-Salarios'!$E$57:$J$74,5,0)))),(VLOOKUP(I67,'Simulador Piramide-Salarios'!$D$57:$J$74,7,0)))))))))))))</f>
        <v>#N/A</v>
      </c>
      <c r="K67" s="200" t="e">
        <f t="shared" si="3"/>
        <v>#N/A</v>
      </c>
      <c r="L67" s="200" t="e">
        <f t="shared" si="4"/>
        <v>#N/A</v>
      </c>
      <c r="M67" s="211" t="e">
        <f t="shared" si="5"/>
        <v>#N/A</v>
      </c>
      <c r="N67" s="201" t="e">
        <f t="shared" si="6"/>
        <v>#N/A</v>
      </c>
      <c r="O67" s="198">
        <v>0</v>
      </c>
      <c r="P67" s="198">
        <v>0</v>
      </c>
      <c r="Q67" s="200" t="e">
        <f t="shared" si="7"/>
        <v>#N/A</v>
      </c>
      <c r="Z67" s="260"/>
    </row>
    <row r="68" spans="1:26" x14ac:dyDescent="0.25">
      <c r="A68" s="180">
        <f t="shared" si="0"/>
        <v>57</v>
      </c>
      <c r="B68" s="296"/>
      <c r="C68" s="306"/>
      <c r="D68" s="304"/>
      <c r="E68" s="305"/>
      <c r="F68" s="296"/>
      <c r="G68" s="216">
        <f t="shared" si="1"/>
        <v>0</v>
      </c>
      <c r="H68" s="279">
        <f t="shared" si="2"/>
        <v>0</v>
      </c>
      <c r="I68" s="280"/>
      <c r="J68" s="202" t="e">
        <f>IF(I68=("Comisario"),(VLOOKUP(I68,'Simulador Piramide-Salarios'!$F$57:$J$74,5,0)),(IF(I68=("Inspector General"),(VLOOKUP(I68,'Simulador Piramide-Salarios'!$F$57:$J$74,5,0)),(IF(I68=("Subinspector"),(VLOOKUP(I68,'Simulador Piramide-Salarios'!$F$57:$J$74,5,0)),(IF(I68=("Inspector"),(VLOOKUP(I68,'Simulador Piramide-Salarios'!$F$57:$J$74,5,0)),(IF(I68=("Inspector Jefe"),(VLOOKUP(I68,'Simulador Piramide-Salarios'!$F$57:$J$74,5,0)),(IF((IF((VLOOKUP(I68,'Simulador Piramide-Salarios'!$F$57:$J$74,3,0))&gt;0,(VLOOKUP(I68,'Simulador Piramide-Salarios'!$F$57:$J$74,3,0)),(VLOOKUP(I68,'Simulador Piramide-Salarios'!$E$57:$J$74,5,0))))&gt;0,(IF((VLOOKUP(I68,'Simulador Piramide-Salarios'!$F$57:$J$74,3,0))&gt;0,(VLOOKUP(I68,'Simulador Piramide-Salarios'!$F$57:$J$74,3,0)),(VLOOKUP(I68,'Simulador Piramide-Salarios'!$E$57:$J$74,5,0)))),(VLOOKUP(I68,'Simulador Piramide-Salarios'!$D$57:$J$74,7,0)))))))))))))</f>
        <v>#N/A</v>
      </c>
      <c r="K68" s="200" t="e">
        <f t="shared" si="3"/>
        <v>#N/A</v>
      </c>
      <c r="L68" s="200" t="e">
        <f t="shared" si="4"/>
        <v>#N/A</v>
      </c>
      <c r="M68" s="211" t="e">
        <f t="shared" si="5"/>
        <v>#N/A</v>
      </c>
      <c r="N68" s="201" t="e">
        <f t="shared" si="6"/>
        <v>#N/A</v>
      </c>
      <c r="O68" s="198">
        <v>0</v>
      </c>
      <c r="P68" s="198">
        <v>0</v>
      </c>
      <c r="Q68" s="200" t="e">
        <f t="shared" si="7"/>
        <v>#N/A</v>
      </c>
      <c r="Z68" s="260"/>
    </row>
    <row r="69" spans="1:26" x14ac:dyDescent="0.25">
      <c r="A69" s="180">
        <f t="shared" si="0"/>
        <v>58</v>
      </c>
      <c r="B69" s="296"/>
      <c r="C69" s="306"/>
      <c r="D69" s="304"/>
      <c r="E69" s="305"/>
      <c r="F69" s="296"/>
      <c r="G69" s="216">
        <f t="shared" si="1"/>
        <v>0</v>
      </c>
      <c r="H69" s="279">
        <f t="shared" si="2"/>
        <v>0</v>
      </c>
      <c r="I69" s="280"/>
      <c r="J69" s="202" t="e">
        <f>IF(I69=("Comisario"),(VLOOKUP(I69,'Simulador Piramide-Salarios'!$F$57:$J$74,5,0)),(IF(I69=("Inspector General"),(VLOOKUP(I69,'Simulador Piramide-Salarios'!$F$57:$J$74,5,0)),(IF(I69=("Subinspector"),(VLOOKUP(I69,'Simulador Piramide-Salarios'!$F$57:$J$74,5,0)),(IF(I69=("Inspector"),(VLOOKUP(I69,'Simulador Piramide-Salarios'!$F$57:$J$74,5,0)),(IF(I69=("Inspector Jefe"),(VLOOKUP(I69,'Simulador Piramide-Salarios'!$F$57:$J$74,5,0)),(IF((IF((VLOOKUP(I69,'Simulador Piramide-Salarios'!$F$57:$J$74,3,0))&gt;0,(VLOOKUP(I69,'Simulador Piramide-Salarios'!$F$57:$J$74,3,0)),(VLOOKUP(I69,'Simulador Piramide-Salarios'!$E$57:$J$74,5,0))))&gt;0,(IF((VLOOKUP(I69,'Simulador Piramide-Salarios'!$F$57:$J$74,3,0))&gt;0,(VLOOKUP(I69,'Simulador Piramide-Salarios'!$F$57:$J$74,3,0)),(VLOOKUP(I69,'Simulador Piramide-Salarios'!$E$57:$J$74,5,0)))),(VLOOKUP(I69,'Simulador Piramide-Salarios'!$D$57:$J$74,7,0)))))))))))))</f>
        <v>#N/A</v>
      </c>
      <c r="K69" s="200" t="e">
        <f t="shared" si="3"/>
        <v>#N/A</v>
      </c>
      <c r="L69" s="200" t="e">
        <f t="shared" si="4"/>
        <v>#N/A</v>
      </c>
      <c r="M69" s="211" t="e">
        <f t="shared" si="5"/>
        <v>#N/A</v>
      </c>
      <c r="N69" s="201" t="e">
        <f t="shared" si="6"/>
        <v>#N/A</v>
      </c>
      <c r="O69" s="198">
        <v>0</v>
      </c>
      <c r="P69" s="198">
        <v>0</v>
      </c>
      <c r="Q69" s="200" t="e">
        <f t="shared" si="7"/>
        <v>#N/A</v>
      </c>
      <c r="Z69" s="260"/>
    </row>
    <row r="70" spans="1:26" x14ac:dyDescent="0.25">
      <c r="A70" s="180">
        <f t="shared" si="0"/>
        <v>59</v>
      </c>
      <c r="B70" s="296"/>
      <c r="C70" s="306"/>
      <c r="D70" s="304"/>
      <c r="E70" s="305"/>
      <c r="F70" s="296"/>
      <c r="G70" s="216">
        <f t="shared" si="1"/>
        <v>0</v>
      </c>
      <c r="H70" s="279">
        <f t="shared" si="2"/>
        <v>0</v>
      </c>
      <c r="I70" s="280"/>
      <c r="J70" s="202" t="e">
        <f>IF(I70=("Comisario"),(VLOOKUP(I70,'Simulador Piramide-Salarios'!$F$57:$J$74,5,0)),(IF(I70=("Inspector General"),(VLOOKUP(I70,'Simulador Piramide-Salarios'!$F$57:$J$74,5,0)),(IF(I70=("Subinspector"),(VLOOKUP(I70,'Simulador Piramide-Salarios'!$F$57:$J$74,5,0)),(IF(I70=("Inspector"),(VLOOKUP(I70,'Simulador Piramide-Salarios'!$F$57:$J$74,5,0)),(IF(I70=("Inspector Jefe"),(VLOOKUP(I70,'Simulador Piramide-Salarios'!$F$57:$J$74,5,0)),(IF((IF((VLOOKUP(I70,'Simulador Piramide-Salarios'!$F$57:$J$74,3,0))&gt;0,(VLOOKUP(I70,'Simulador Piramide-Salarios'!$F$57:$J$74,3,0)),(VLOOKUP(I70,'Simulador Piramide-Salarios'!$E$57:$J$74,5,0))))&gt;0,(IF((VLOOKUP(I70,'Simulador Piramide-Salarios'!$F$57:$J$74,3,0))&gt;0,(VLOOKUP(I70,'Simulador Piramide-Salarios'!$F$57:$J$74,3,0)),(VLOOKUP(I70,'Simulador Piramide-Salarios'!$E$57:$J$74,5,0)))),(VLOOKUP(I70,'Simulador Piramide-Salarios'!$D$57:$J$74,7,0)))))))))))))</f>
        <v>#N/A</v>
      </c>
      <c r="K70" s="200" t="e">
        <f t="shared" si="3"/>
        <v>#N/A</v>
      </c>
      <c r="L70" s="200" t="e">
        <f t="shared" si="4"/>
        <v>#N/A</v>
      </c>
      <c r="M70" s="211" t="e">
        <f t="shared" si="5"/>
        <v>#N/A</v>
      </c>
      <c r="N70" s="201" t="e">
        <f t="shared" si="6"/>
        <v>#N/A</v>
      </c>
      <c r="O70" s="198">
        <v>0</v>
      </c>
      <c r="P70" s="198">
        <v>0</v>
      </c>
      <c r="Q70" s="200" t="e">
        <f t="shared" si="7"/>
        <v>#N/A</v>
      </c>
      <c r="Z70" s="260"/>
    </row>
    <row r="71" spans="1:26" x14ac:dyDescent="0.25">
      <c r="A71" s="180">
        <f t="shared" si="0"/>
        <v>60</v>
      </c>
      <c r="B71" s="296"/>
      <c r="C71" s="306"/>
      <c r="D71" s="304"/>
      <c r="E71" s="305"/>
      <c r="F71" s="296"/>
      <c r="G71" s="216">
        <f t="shared" si="1"/>
        <v>0</v>
      </c>
      <c r="H71" s="279">
        <f t="shared" si="2"/>
        <v>0</v>
      </c>
      <c r="I71" s="280"/>
      <c r="J71" s="202" t="e">
        <f>IF(I71=("Comisario"),(VLOOKUP(I71,'Simulador Piramide-Salarios'!$F$57:$J$74,5,0)),(IF(I71=("Inspector General"),(VLOOKUP(I71,'Simulador Piramide-Salarios'!$F$57:$J$74,5,0)),(IF(I71=("Subinspector"),(VLOOKUP(I71,'Simulador Piramide-Salarios'!$F$57:$J$74,5,0)),(IF(I71=("Inspector"),(VLOOKUP(I71,'Simulador Piramide-Salarios'!$F$57:$J$74,5,0)),(IF(I71=("Inspector Jefe"),(VLOOKUP(I71,'Simulador Piramide-Salarios'!$F$57:$J$74,5,0)),(IF((IF((VLOOKUP(I71,'Simulador Piramide-Salarios'!$F$57:$J$74,3,0))&gt;0,(VLOOKUP(I71,'Simulador Piramide-Salarios'!$F$57:$J$74,3,0)),(VLOOKUP(I71,'Simulador Piramide-Salarios'!$E$57:$J$74,5,0))))&gt;0,(IF((VLOOKUP(I71,'Simulador Piramide-Salarios'!$F$57:$J$74,3,0))&gt;0,(VLOOKUP(I71,'Simulador Piramide-Salarios'!$F$57:$J$74,3,0)),(VLOOKUP(I71,'Simulador Piramide-Salarios'!$E$57:$J$74,5,0)))),(VLOOKUP(I71,'Simulador Piramide-Salarios'!$D$57:$J$74,7,0)))))))))))))</f>
        <v>#N/A</v>
      </c>
      <c r="K71" s="200" t="e">
        <f t="shared" si="3"/>
        <v>#N/A</v>
      </c>
      <c r="L71" s="200" t="e">
        <f t="shared" si="4"/>
        <v>#N/A</v>
      </c>
      <c r="M71" s="211" t="e">
        <f t="shared" si="5"/>
        <v>#N/A</v>
      </c>
      <c r="N71" s="201" t="e">
        <f t="shared" si="6"/>
        <v>#N/A</v>
      </c>
      <c r="O71" s="198">
        <v>0</v>
      </c>
      <c r="P71" s="198">
        <v>0</v>
      </c>
      <c r="Q71" s="200" t="e">
        <f t="shared" si="7"/>
        <v>#N/A</v>
      </c>
      <c r="Z71" s="260"/>
    </row>
    <row r="72" spans="1:26" x14ac:dyDescent="0.25">
      <c r="A72" s="180">
        <f t="shared" si="0"/>
        <v>61</v>
      </c>
      <c r="B72" s="296"/>
      <c r="C72" s="306"/>
      <c r="D72" s="304"/>
      <c r="E72" s="305"/>
      <c r="F72" s="296"/>
      <c r="G72" s="216">
        <f t="shared" si="1"/>
        <v>0</v>
      </c>
      <c r="H72" s="279">
        <f t="shared" si="2"/>
        <v>0</v>
      </c>
      <c r="I72" s="280"/>
      <c r="J72" s="202" t="e">
        <f>IF(I72=("Comisario"),(VLOOKUP(I72,'Simulador Piramide-Salarios'!$F$57:$J$74,5,0)),(IF(I72=("Inspector General"),(VLOOKUP(I72,'Simulador Piramide-Salarios'!$F$57:$J$74,5,0)),(IF(I72=("Subinspector"),(VLOOKUP(I72,'Simulador Piramide-Salarios'!$F$57:$J$74,5,0)),(IF(I72=("Inspector"),(VLOOKUP(I72,'Simulador Piramide-Salarios'!$F$57:$J$74,5,0)),(IF(I72=("Inspector Jefe"),(VLOOKUP(I72,'Simulador Piramide-Salarios'!$F$57:$J$74,5,0)),(IF((IF((VLOOKUP(I72,'Simulador Piramide-Salarios'!$F$57:$J$74,3,0))&gt;0,(VLOOKUP(I72,'Simulador Piramide-Salarios'!$F$57:$J$74,3,0)),(VLOOKUP(I72,'Simulador Piramide-Salarios'!$E$57:$J$74,5,0))))&gt;0,(IF((VLOOKUP(I72,'Simulador Piramide-Salarios'!$F$57:$J$74,3,0))&gt;0,(VLOOKUP(I72,'Simulador Piramide-Salarios'!$F$57:$J$74,3,0)),(VLOOKUP(I72,'Simulador Piramide-Salarios'!$E$57:$J$74,5,0)))),(VLOOKUP(I72,'Simulador Piramide-Salarios'!$D$57:$J$74,7,0)))))))))))))</f>
        <v>#N/A</v>
      </c>
      <c r="K72" s="200" t="e">
        <f t="shared" si="3"/>
        <v>#N/A</v>
      </c>
      <c r="L72" s="200" t="e">
        <f t="shared" si="4"/>
        <v>#N/A</v>
      </c>
      <c r="M72" s="211" t="e">
        <f t="shared" si="5"/>
        <v>#N/A</v>
      </c>
      <c r="N72" s="201" t="e">
        <f t="shared" si="6"/>
        <v>#N/A</v>
      </c>
      <c r="O72" s="198">
        <v>0</v>
      </c>
      <c r="P72" s="198">
        <v>0</v>
      </c>
      <c r="Q72" s="200" t="e">
        <f t="shared" si="7"/>
        <v>#N/A</v>
      </c>
      <c r="Z72" s="260"/>
    </row>
    <row r="73" spans="1:26" x14ac:dyDescent="0.25">
      <c r="A73" s="180">
        <f t="shared" si="0"/>
        <v>62</v>
      </c>
      <c r="B73" s="296"/>
      <c r="C73" s="306"/>
      <c r="D73" s="304"/>
      <c r="E73" s="305"/>
      <c r="F73" s="296"/>
      <c r="G73" s="216">
        <f t="shared" si="1"/>
        <v>0</v>
      </c>
      <c r="H73" s="279">
        <f t="shared" si="2"/>
        <v>0</v>
      </c>
      <c r="I73" s="280"/>
      <c r="J73" s="202" t="e">
        <f>IF(I73=("Comisario"),(VLOOKUP(I73,'Simulador Piramide-Salarios'!$F$57:$J$74,5,0)),(IF(I73=("Inspector General"),(VLOOKUP(I73,'Simulador Piramide-Salarios'!$F$57:$J$74,5,0)),(IF(I73=("Subinspector"),(VLOOKUP(I73,'Simulador Piramide-Salarios'!$F$57:$J$74,5,0)),(IF(I73=("Inspector"),(VLOOKUP(I73,'Simulador Piramide-Salarios'!$F$57:$J$74,5,0)),(IF(I73=("Inspector Jefe"),(VLOOKUP(I73,'Simulador Piramide-Salarios'!$F$57:$J$74,5,0)),(IF((IF((VLOOKUP(I73,'Simulador Piramide-Salarios'!$F$57:$J$74,3,0))&gt;0,(VLOOKUP(I73,'Simulador Piramide-Salarios'!$F$57:$J$74,3,0)),(VLOOKUP(I73,'Simulador Piramide-Salarios'!$E$57:$J$74,5,0))))&gt;0,(IF((VLOOKUP(I73,'Simulador Piramide-Salarios'!$F$57:$J$74,3,0))&gt;0,(VLOOKUP(I73,'Simulador Piramide-Salarios'!$F$57:$J$74,3,0)),(VLOOKUP(I73,'Simulador Piramide-Salarios'!$E$57:$J$74,5,0)))),(VLOOKUP(I73,'Simulador Piramide-Salarios'!$D$57:$J$74,7,0)))))))))))))</f>
        <v>#N/A</v>
      </c>
      <c r="K73" s="200" t="e">
        <f t="shared" si="3"/>
        <v>#N/A</v>
      </c>
      <c r="L73" s="200" t="e">
        <f t="shared" si="4"/>
        <v>#N/A</v>
      </c>
      <c r="M73" s="211" t="e">
        <f t="shared" si="5"/>
        <v>#N/A</v>
      </c>
      <c r="N73" s="201" t="e">
        <f t="shared" si="6"/>
        <v>#N/A</v>
      </c>
      <c r="O73" s="198">
        <v>0</v>
      </c>
      <c r="P73" s="198">
        <v>0</v>
      </c>
      <c r="Q73" s="200" t="e">
        <f t="shared" si="7"/>
        <v>#N/A</v>
      </c>
      <c r="Z73" s="260"/>
    </row>
    <row r="74" spans="1:26" x14ac:dyDescent="0.25">
      <c r="A74" s="180">
        <f t="shared" si="0"/>
        <v>63</v>
      </c>
      <c r="B74" s="296"/>
      <c r="C74" s="306"/>
      <c r="D74" s="304"/>
      <c r="E74" s="305"/>
      <c r="F74" s="296"/>
      <c r="G74" s="216">
        <f t="shared" si="1"/>
        <v>0</v>
      </c>
      <c r="H74" s="279">
        <f t="shared" si="2"/>
        <v>0</v>
      </c>
      <c r="I74" s="280"/>
      <c r="J74" s="202" t="e">
        <f>IF(I74=("Comisario"),(VLOOKUP(I74,'Simulador Piramide-Salarios'!$F$57:$J$74,5,0)),(IF(I74=("Inspector General"),(VLOOKUP(I74,'Simulador Piramide-Salarios'!$F$57:$J$74,5,0)),(IF(I74=("Subinspector"),(VLOOKUP(I74,'Simulador Piramide-Salarios'!$F$57:$J$74,5,0)),(IF(I74=("Inspector"),(VLOOKUP(I74,'Simulador Piramide-Salarios'!$F$57:$J$74,5,0)),(IF(I74=("Inspector Jefe"),(VLOOKUP(I74,'Simulador Piramide-Salarios'!$F$57:$J$74,5,0)),(IF((IF((VLOOKUP(I74,'Simulador Piramide-Salarios'!$F$57:$J$74,3,0))&gt;0,(VLOOKUP(I74,'Simulador Piramide-Salarios'!$F$57:$J$74,3,0)),(VLOOKUP(I74,'Simulador Piramide-Salarios'!$E$57:$J$74,5,0))))&gt;0,(IF((VLOOKUP(I74,'Simulador Piramide-Salarios'!$F$57:$J$74,3,0))&gt;0,(VLOOKUP(I74,'Simulador Piramide-Salarios'!$F$57:$J$74,3,0)),(VLOOKUP(I74,'Simulador Piramide-Salarios'!$E$57:$J$74,5,0)))),(VLOOKUP(I74,'Simulador Piramide-Salarios'!$D$57:$J$74,7,0)))))))))))))</f>
        <v>#N/A</v>
      </c>
      <c r="K74" s="200" t="e">
        <f t="shared" si="3"/>
        <v>#N/A</v>
      </c>
      <c r="L74" s="200" t="e">
        <f t="shared" si="4"/>
        <v>#N/A</v>
      </c>
      <c r="M74" s="211" t="e">
        <f t="shared" si="5"/>
        <v>#N/A</v>
      </c>
      <c r="N74" s="201" t="e">
        <f t="shared" si="6"/>
        <v>#N/A</v>
      </c>
      <c r="O74" s="198">
        <v>0</v>
      </c>
      <c r="P74" s="198">
        <v>0</v>
      </c>
      <c r="Q74" s="200" t="e">
        <f t="shared" si="7"/>
        <v>#N/A</v>
      </c>
      <c r="Z74" s="260"/>
    </row>
    <row r="75" spans="1:26" x14ac:dyDescent="0.25">
      <c r="A75" s="180">
        <f t="shared" si="0"/>
        <v>64</v>
      </c>
      <c r="B75" s="296"/>
      <c r="C75" s="306"/>
      <c r="D75" s="304"/>
      <c r="E75" s="305"/>
      <c r="F75" s="296"/>
      <c r="G75" s="216">
        <f t="shared" si="1"/>
        <v>0</v>
      </c>
      <c r="H75" s="279">
        <f t="shared" si="2"/>
        <v>0</v>
      </c>
      <c r="I75" s="280"/>
      <c r="J75" s="202" t="e">
        <f>IF(I75=("Comisario"),(VLOOKUP(I75,'Simulador Piramide-Salarios'!$F$57:$J$74,5,0)),(IF(I75=("Inspector General"),(VLOOKUP(I75,'Simulador Piramide-Salarios'!$F$57:$J$74,5,0)),(IF(I75=("Subinspector"),(VLOOKUP(I75,'Simulador Piramide-Salarios'!$F$57:$J$74,5,0)),(IF(I75=("Inspector"),(VLOOKUP(I75,'Simulador Piramide-Salarios'!$F$57:$J$74,5,0)),(IF(I75=("Inspector Jefe"),(VLOOKUP(I75,'Simulador Piramide-Salarios'!$F$57:$J$74,5,0)),(IF((IF((VLOOKUP(I75,'Simulador Piramide-Salarios'!$F$57:$J$74,3,0))&gt;0,(VLOOKUP(I75,'Simulador Piramide-Salarios'!$F$57:$J$74,3,0)),(VLOOKUP(I75,'Simulador Piramide-Salarios'!$E$57:$J$74,5,0))))&gt;0,(IF((VLOOKUP(I75,'Simulador Piramide-Salarios'!$F$57:$J$74,3,0))&gt;0,(VLOOKUP(I75,'Simulador Piramide-Salarios'!$F$57:$J$74,3,0)),(VLOOKUP(I75,'Simulador Piramide-Salarios'!$E$57:$J$74,5,0)))),(VLOOKUP(I75,'Simulador Piramide-Salarios'!$D$57:$J$74,7,0)))))))))))))</f>
        <v>#N/A</v>
      </c>
      <c r="K75" s="200" t="e">
        <f t="shared" si="3"/>
        <v>#N/A</v>
      </c>
      <c r="L75" s="200" t="e">
        <f t="shared" si="4"/>
        <v>#N/A</v>
      </c>
      <c r="M75" s="211" t="e">
        <f t="shared" si="5"/>
        <v>#N/A</v>
      </c>
      <c r="N75" s="201" t="e">
        <f t="shared" si="6"/>
        <v>#N/A</v>
      </c>
      <c r="O75" s="198">
        <v>0</v>
      </c>
      <c r="P75" s="198">
        <v>0</v>
      </c>
      <c r="Q75" s="200" t="e">
        <f t="shared" si="7"/>
        <v>#N/A</v>
      </c>
      <c r="Z75" s="260"/>
    </row>
    <row r="76" spans="1:26" x14ac:dyDescent="0.25">
      <c r="A76" s="180">
        <f t="shared" si="0"/>
        <v>65</v>
      </c>
      <c r="B76" s="296"/>
      <c r="C76" s="306"/>
      <c r="D76" s="304"/>
      <c r="E76" s="305"/>
      <c r="F76" s="296"/>
      <c r="G76" s="216">
        <f t="shared" si="1"/>
        <v>0</v>
      </c>
      <c r="H76" s="279">
        <f t="shared" si="2"/>
        <v>0</v>
      </c>
      <c r="I76" s="280"/>
      <c r="J76" s="202" t="e">
        <f>IF(I76=("Comisario"),(VLOOKUP(I76,'Simulador Piramide-Salarios'!$F$57:$J$74,5,0)),(IF(I76=("Inspector General"),(VLOOKUP(I76,'Simulador Piramide-Salarios'!$F$57:$J$74,5,0)),(IF(I76=("Subinspector"),(VLOOKUP(I76,'Simulador Piramide-Salarios'!$F$57:$J$74,5,0)),(IF(I76=("Inspector"),(VLOOKUP(I76,'Simulador Piramide-Salarios'!$F$57:$J$74,5,0)),(IF(I76=("Inspector Jefe"),(VLOOKUP(I76,'Simulador Piramide-Salarios'!$F$57:$J$74,5,0)),(IF((IF((VLOOKUP(I76,'Simulador Piramide-Salarios'!$F$57:$J$74,3,0))&gt;0,(VLOOKUP(I76,'Simulador Piramide-Salarios'!$F$57:$J$74,3,0)),(VLOOKUP(I76,'Simulador Piramide-Salarios'!$E$57:$J$74,5,0))))&gt;0,(IF((VLOOKUP(I76,'Simulador Piramide-Salarios'!$F$57:$J$74,3,0))&gt;0,(VLOOKUP(I76,'Simulador Piramide-Salarios'!$F$57:$J$74,3,0)),(VLOOKUP(I76,'Simulador Piramide-Salarios'!$E$57:$J$74,5,0)))),(VLOOKUP(I76,'Simulador Piramide-Salarios'!$D$57:$J$74,7,0)))))))))))))</f>
        <v>#N/A</v>
      </c>
      <c r="K76" s="200" t="e">
        <f t="shared" si="3"/>
        <v>#N/A</v>
      </c>
      <c r="L76" s="200" t="e">
        <f t="shared" si="4"/>
        <v>#N/A</v>
      </c>
      <c r="M76" s="211" t="e">
        <f t="shared" si="5"/>
        <v>#N/A</v>
      </c>
      <c r="N76" s="201" t="e">
        <f t="shared" si="6"/>
        <v>#N/A</v>
      </c>
      <c r="O76" s="198">
        <v>0</v>
      </c>
      <c r="P76" s="198">
        <v>0</v>
      </c>
      <c r="Q76" s="200" t="e">
        <f t="shared" si="7"/>
        <v>#N/A</v>
      </c>
      <c r="Z76" s="260"/>
    </row>
    <row r="77" spans="1:26" x14ac:dyDescent="0.25">
      <c r="A77" s="180">
        <f t="shared" si="0"/>
        <v>66</v>
      </c>
      <c r="B77" s="296"/>
      <c r="C77" s="306"/>
      <c r="D77" s="304"/>
      <c r="E77" s="305"/>
      <c r="F77" s="296"/>
      <c r="G77" s="216">
        <f t="shared" ref="G77:G111" si="8">+I77</f>
        <v>0</v>
      </c>
      <c r="H77" s="279">
        <f t="shared" ref="H77:H111" si="9">E77+F77</f>
        <v>0</v>
      </c>
      <c r="I77" s="280"/>
      <c r="J77" s="202" t="e">
        <f>IF(I77=("Comisario"),(VLOOKUP(I77,'Simulador Piramide-Salarios'!$F$57:$J$74,5,0)),(IF(I77=("Inspector General"),(VLOOKUP(I77,'Simulador Piramide-Salarios'!$F$57:$J$74,5,0)),(IF(I77=("Subinspector"),(VLOOKUP(I77,'Simulador Piramide-Salarios'!$F$57:$J$74,5,0)),(IF(I77=("Inspector"),(VLOOKUP(I77,'Simulador Piramide-Salarios'!$F$57:$J$74,5,0)),(IF(I77=("Inspector Jefe"),(VLOOKUP(I77,'Simulador Piramide-Salarios'!$F$57:$J$74,5,0)),(IF((IF((VLOOKUP(I77,'Simulador Piramide-Salarios'!$F$57:$J$74,3,0))&gt;0,(VLOOKUP(I77,'Simulador Piramide-Salarios'!$F$57:$J$74,3,0)),(VLOOKUP(I77,'Simulador Piramide-Salarios'!$E$57:$J$74,5,0))))&gt;0,(IF((VLOOKUP(I77,'Simulador Piramide-Salarios'!$F$57:$J$74,3,0))&gt;0,(VLOOKUP(I77,'Simulador Piramide-Salarios'!$F$57:$J$74,3,0)),(VLOOKUP(I77,'Simulador Piramide-Salarios'!$E$57:$J$74,5,0)))),(VLOOKUP(I77,'Simulador Piramide-Salarios'!$D$57:$J$74,7,0)))))))))))))</f>
        <v>#N/A</v>
      </c>
      <c r="K77" s="200" t="e">
        <f t="shared" ref="K77:K111" si="10">J77-H77</f>
        <v>#N/A</v>
      </c>
      <c r="L77" s="200" t="e">
        <f t="shared" ref="L77:L111" si="11">K77*L$8</f>
        <v>#N/A</v>
      </c>
      <c r="M77" s="211" t="e">
        <f t="shared" ref="M77:M111" si="12">K77/H77</f>
        <v>#N/A</v>
      </c>
      <c r="N77" s="201" t="e">
        <f t="shared" ref="N77:N111" si="13">IF(H77-J77&lt;=0,0,H77-J77)</f>
        <v>#N/A</v>
      </c>
      <c r="O77" s="198">
        <v>0</v>
      </c>
      <c r="P77" s="198">
        <v>0</v>
      </c>
      <c r="Q77" s="200" t="e">
        <f t="shared" ref="Q77:Q111" si="14">IF(L77&lt;=0,0,L77)</f>
        <v>#N/A</v>
      </c>
      <c r="Z77" s="260"/>
    </row>
    <row r="78" spans="1:26" x14ac:dyDescent="0.25">
      <c r="A78" s="180">
        <f t="shared" si="0"/>
        <v>67</v>
      </c>
      <c r="B78" s="296"/>
      <c r="C78" s="306"/>
      <c r="D78" s="304"/>
      <c r="E78" s="305"/>
      <c r="F78" s="296"/>
      <c r="G78" s="216">
        <f t="shared" si="8"/>
        <v>0</v>
      </c>
      <c r="H78" s="279">
        <f t="shared" si="9"/>
        <v>0</v>
      </c>
      <c r="I78" s="280"/>
      <c r="J78" s="202" t="e">
        <f>IF(I78=("Comisario"),(VLOOKUP(I78,'Simulador Piramide-Salarios'!$F$57:$J$74,5,0)),(IF(I78=("Inspector General"),(VLOOKUP(I78,'Simulador Piramide-Salarios'!$F$57:$J$74,5,0)),(IF(I78=("Subinspector"),(VLOOKUP(I78,'Simulador Piramide-Salarios'!$F$57:$J$74,5,0)),(IF(I78=("Inspector"),(VLOOKUP(I78,'Simulador Piramide-Salarios'!$F$57:$J$74,5,0)),(IF(I78=("Inspector Jefe"),(VLOOKUP(I78,'Simulador Piramide-Salarios'!$F$57:$J$74,5,0)),(IF((IF((VLOOKUP(I78,'Simulador Piramide-Salarios'!$F$57:$J$74,3,0))&gt;0,(VLOOKUP(I78,'Simulador Piramide-Salarios'!$F$57:$J$74,3,0)),(VLOOKUP(I78,'Simulador Piramide-Salarios'!$E$57:$J$74,5,0))))&gt;0,(IF((VLOOKUP(I78,'Simulador Piramide-Salarios'!$F$57:$J$74,3,0))&gt;0,(VLOOKUP(I78,'Simulador Piramide-Salarios'!$F$57:$J$74,3,0)),(VLOOKUP(I78,'Simulador Piramide-Salarios'!$E$57:$J$74,5,0)))),(VLOOKUP(I78,'Simulador Piramide-Salarios'!$D$57:$J$74,7,0)))))))))))))</f>
        <v>#N/A</v>
      </c>
      <c r="K78" s="200" t="e">
        <f t="shared" si="10"/>
        <v>#N/A</v>
      </c>
      <c r="L78" s="200" t="e">
        <f t="shared" si="11"/>
        <v>#N/A</v>
      </c>
      <c r="M78" s="211" t="e">
        <f t="shared" si="12"/>
        <v>#N/A</v>
      </c>
      <c r="N78" s="201" t="e">
        <f t="shared" si="13"/>
        <v>#N/A</v>
      </c>
      <c r="O78" s="198">
        <v>0</v>
      </c>
      <c r="P78" s="198">
        <v>0</v>
      </c>
      <c r="Q78" s="200" t="e">
        <f t="shared" si="14"/>
        <v>#N/A</v>
      </c>
      <c r="Z78" s="260"/>
    </row>
    <row r="79" spans="1:26" x14ac:dyDescent="0.25">
      <c r="A79" s="180">
        <f t="shared" si="0"/>
        <v>68</v>
      </c>
      <c r="B79" s="296"/>
      <c r="C79" s="306"/>
      <c r="D79" s="304"/>
      <c r="E79" s="305"/>
      <c r="F79" s="296"/>
      <c r="G79" s="216">
        <f t="shared" si="8"/>
        <v>0</v>
      </c>
      <c r="H79" s="279">
        <f t="shared" si="9"/>
        <v>0</v>
      </c>
      <c r="I79" s="280"/>
      <c r="J79" s="202" t="e">
        <f>IF(I79=("Comisario"),(VLOOKUP(I79,'Simulador Piramide-Salarios'!$F$57:$J$74,5,0)),(IF(I79=("Inspector General"),(VLOOKUP(I79,'Simulador Piramide-Salarios'!$F$57:$J$74,5,0)),(IF(I79=("Subinspector"),(VLOOKUP(I79,'Simulador Piramide-Salarios'!$F$57:$J$74,5,0)),(IF(I79=("Inspector"),(VLOOKUP(I79,'Simulador Piramide-Salarios'!$F$57:$J$74,5,0)),(IF(I79=("Inspector Jefe"),(VLOOKUP(I79,'Simulador Piramide-Salarios'!$F$57:$J$74,5,0)),(IF((IF((VLOOKUP(I79,'Simulador Piramide-Salarios'!$F$57:$J$74,3,0))&gt;0,(VLOOKUP(I79,'Simulador Piramide-Salarios'!$F$57:$J$74,3,0)),(VLOOKUP(I79,'Simulador Piramide-Salarios'!$E$57:$J$74,5,0))))&gt;0,(IF((VLOOKUP(I79,'Simulador Piramide-Salarios'!$F$57:$J$74,3,0))&gt;0,(VLOOKUP(I79,'Simulador Piramide-Salarios'!$F$57:$J$74,3,0)),(VLOOKUP(I79,'Simulador Piramide-Salarios'!$E$57:$J$74,5,0)))),(VLOOKUP(I79,'Simulador Piramide-Salarios'!$D$57:$J$74,7,0)))))))))))))</f>
        <v>#N/A</v>
      </c>
      <c r="K79" s="200" t="e">
        <f t="shared" si="10"/>
        <v>#N/A</v>
      </c>
      <c r="L79" s="200" t="e">
        <f t="shared" si="11"/>
        <v>#N/A</v>
      </c>
      <c r="M79" s="211" t="e">
        <f t="shared" si="12"/>
        <v>#N/A</v>
      </c>
      <c r="N79" s="201" t="e">
        <f t="shared" si="13"/>
        <v>#N/A</v>
      </c>
      <c r="O79" s="198">
        <v>0</v>
      </c>
      <c r="P79" s="198">
        <v>0</v>
      </c>
      <c r="Q79" s="200" t="e">
        <f t="shared" si="14"/>
        <v>#N/A</v>
      </c>
      <c r="Z79" s="260"/>
    </row>
    <row r="80" spans="1:26" x14ac:dyDescent="0.25">
      <c r="A80" s="180">
        <f t="shared" si="0"/>
        <v>69</v>
      </c>
      <c r="B80" s="296"/>
      <c r="C80" s="306"/>
      <c r="D80" s="304"/>
      <c r="E80" s="305"/>
      <c r="F80" s="296"/>
      <c r="G80" s="216">
        <f t="shared" si="8"/>
        <v>0</v>
      </c>
      <c r="H80" s="279">
        <f t="shared" si="9"/>
        <v>0</v>
      </c>
      <c r="I80" s="280"/>
      <c r="J80" s="202" t="e">
        <f>IF(I80=("Comisario"),(VLOOKUP(I80,'Simulador Piramide-Salarios'!$F$57:$J$74,5,0)),(IF(I80=("Inspector General"),(VLOOKUP(I80,'Simulador Piramide-Salarios'!$F$57:$J$74,5,0)),(IF(I80=("Subinspector"),(VLOOKUP(I80,'Simulador Piramide-Salarios'!$F$57:$J$74,5,0)),(IF(I80=("Inspector"),(VLOOKUP(I80,'Simulador Piramide-Salarios'!$F$57:$J$74,5,0)),(IF(I80=("Inspector Jefe"),(VLOOKUP(I80,'Simulador Piramide-Salarios'!$F$57:$J$74,5,0)),(IF((IF((VLOOKUP(I80,'Simulador Piramide-Salarios'!$F$57:$J$74,3,0))&gt;0,(VLOOKUP(I80,'Simulador Piramide-Salarios'!$F$57:$J$74,3,0)),(VLOOKUP(I80,'Simulador Piramide-Salarios'!$E$57:$J$74,5,0))))&gt;0,(IF((VLOOKUP(I80,'Simulador Piramide-Salarios'!$F$57:$J$74,3,0))&gt;0,(VLOOKUP(I80,'Simulador Piramide-Salarios'!$F$57:$J$74,3,0)),(VLOOKUP(I80,'Simulador Piramide-Salarios'!$E$57:$J$74,5,0)))),(VLOOKUP(I80,'Simulador Piramide-Salarios'!$D$57:$J$74,7,0)))))))))))))</f>
        <v>#N/A</v>
      </c>
      <c r="K80" s="200" t="e">
        <f t="shared" si="10"/>
        <v>#N/A</v>
      </c>
      <c r="L80" s="200" t="e">
        <f t="shared" si="11"/>
        <v>#N/A</v>
      </c>
      <c r="M80" s="211" t="e">
        <f t="shared" si="12"/>
        <v>#N/A</v>
      </c>
      <c r="N80" s="201" t="e">
        <f t="shared" si="13"/>
        <v>#N/A</v>
      </c>
      <c r="O80" s="198">
        <v>0</v>
      </c>
      <c r="P80" s="198">
        <v>0</v>
      </c>
      <c r="Q80" s="200" t="e">
        <f t="shared" si="14"/>
        <v>#N/A</v>
      </c>
      <c r="Z80" s="260"/>
    </row>
    <row r="81" spans="1:26" x14ac:dyDescent="0.25">
      <c r="A81" s="180">
        <f t="shared" si="0"/>
        <v>70</v>
      </c>
      <c r="B81" s="296"/>
      <c r="C81" s="306"/>
      <c r="D81" s="304"/>
      <c r="E81" s="305"/>
      <c r="F81" s="296"/>
      <c r="G81" s="216">
        <f t="shared" si="8"/>
        <v>0</v>
      </c>
      <c r="H81" s="279">
        <f t="shared" si="9"/>
        <v>0</v>
      </c>
      <c r="I81" s="280"/>
      <c r="J81" s="202" t="e">
        <f>IF(I81=("Comisario"),(VLOOKUP(I81,'Simulador Piramide-Salarios'!$F$57:$J$74,5,0)),(IF(I81=("Inspector General"),(VLOOKUP(I81,'Simulador Piramide-Salarios'!$F$57:$J$74,5,0)),(IF(I81=("Subinspector"),(VLOOKUP(I81,'Simulador Piramide-Salarios'!$F$57:$J$74,5,0)),(IF(I81=("Inspector"),(VLOOKUP(I81,'Simulador Piramide-Salarios'!$F$57:$J$74,5,0)),(IF(I81=("Inspector Jefe"),(VLOOKUP(I81,'Simulador Piramide-Salarios'!$F$57:$J$74,5,0)),(IF((IF((VLOOKUP(I81,'Simulador Piramide-Salarios'!$F$57:$J$74,3,0))&gt;0,(VLOOKUP(I81,'Simulador Piramide-Salarios'!$F$57:$J$74,3,0)),(VLOOKUP(I81,'Simulador Piramide-Salarios'!$E$57:$J$74,5,0))))&gt;0,(IF((VLOOKUP(I81,'Simulador Piramide-Salarios'!$F$57:$J$74,3,0))&gt;0,(VLOOKUP(I81,'Simulador Piramide-Salarios'!$F$57:$J$74,3,0)),(VLOOKUP(I81,'Simulador Piramide-Salarios'!$E$57:$J$74,5,0)))),(VLOOKUP(I81,'Simulador Piramide-Salarios'!$D$57:$J$74,7,0)))))))))))))</f>
        <v>#N/A</v>
      </c>
      <c r="K81" s="200" t="e">
        <f t="shared" si="10"/>
        <v>#N/A</v>
      </c>
      <c r="L81" s="200" t="e">
        <f t="shared" si="11"/>
        <v>#N/A</v>
      </c>
      <c r="M81" s="211" t="e">
        <f t="shared" si="12"/>
        <v>#N/A</v>
      </c>
      <c r="N81" s="201" t="e">
        <f t="shared" si="13"/>
        <v>#N/A</v>
      </c>
      <c r="O81" s="198">
        <v>0</v>
      </c>
      <c r="P81" s="198">
        <v>0</v>
      </c>
      <c r="Q81" s="200" t="e">
        <f t="shared" si="14"/>
        <v>#N/A</v>
      </c>
      <c r="Z81" s="260"/>
    </row>
    <row r="82" spans="1:26" x14ac:dyDescent="0.25">
      <c r="A82" s="180">
        <f t="shared" si="0"/>
        <v>71</v>
      </c>
      <c r="B82" s="296"/>
      <c r="C82" s="306"/>
      <c r="D82" s="304"/>
      <c r="E82" s="305"/>
      <c r="F82" s="296"/>
      <c r="G82" s="216">
        <f t="shared" si="8"/>
        <v>0</v>
      </c>
      <c r="H82" s="279">
        <f t="shared" si="9"/>
        <v>0</v>
      </c>
      <c r="I82" s="280"/>
      <c r="J82" s="202" t="e">
        <f>IF(I82=("Comisario"),(VLOOKUP(I82,'Simulador Piramide-Salarios'!$F$57:$J$74,5,0)),(IF(I82=("Inspector General"),(VLOOKUP(I82,'Simulador Piramide-Salarios'!$F$57:$J$74,5,0)),(IF(I82=("Subinspector"),(VLOOKUP(I82,'Simulador Piramide-Salarios'!$F$57:$J$74,5,0)),(IF(I82=("Inspector"),(VLOOKUP(I82,'Simulador Piramide-Salarios'!$F$57:$J$74,5,0)),(IF(I82=("Inspector Jefe"),(VLOOKUP(I82,'Simulador Piramide-Salarios'!$F$57:$J$74,5,0)),(IF((IF((VLOOKUP(I82,'Simulador Piramide-Salarios'!$F$57:$J$74,3,0))&gt;0,(VLOOKUP(I82,'Simulador Piramide-Salarios'!$F$57:$J$74,3,0)),(VLOOKUP(I82,'Simulador Piramide-Salarios'!$E$57:$J$74,5,0))))&gt;0,(IF((VLOOKUP(I82,'Simulador Piramide-Salarios'!$F$57:$J$74,3,0))&gt;0,(VLOOKUP(I82,'Simulador Piramide-Salarios'!$F$57:$J$74,3,0)),(VLOOKUP(I82,'Simulador Piramide-Salarios'!$E$57:$J$74,5,0)))),(VLOOKUP(I82,'Simulador Piramide-Salarios'!$D$57:$J$74,7,0)))))))))))))</f>
        <v>#N/A</v>
      </c>
      <c r="K82" s="200" t="e">
        <f t="shared" si="10"/>
        <v>#N/A</v>
      </c>
      <c r="L82" s="200" t="e">
        <f t="shared" si="11"/>
        <v>#N/A</v>
      </c>
      <c r="M82" s="211" t="e">
        <f t="shared" si="12"/>
        <v>#N/A</v>
      </c>
      <c r="N82" s="201" t="e">
        <f t="shared" si="13"/>
        <v>#N/A</v>
      </c>
      <c r="O82" s="198">
        <v>0</v>
      </c>
      <c r="P82" s="198">
        <v>0</v>
      </c>
      <c r="Q82" s="200" t="e">
        <f t="shared" si="14"/>
        <v>#N/A</v>
      </c>
      <c r="Z82" s="260"/>
    </row>
    <row r="83" spans="1:26" x14ac:dyDescent="0.25">
      <c r="A83" s="180">
        <f t="shared" si="0"/>
        <v>72</v>
      </c>
      <c r="B83" s="296"/>
      <c r="C83" s="306"/>
      <c r="D83" s="304"/>
      <c r="E83" s="305"/>
      <c r="F83" s="296"/>
      <c r="G83" s="216">
        <f t="shared" si="8"/>
        <v>0</v>
      </c>
      <c r="H83" s="279">
        <f t="shared" si="9"/>
        <v>0</v>
      </c>
      <c r="I83" s="280"/>
      <c r="J83" s="202" t="e">
        <f>IF(I83=("Comisario"),(VLOOKUP(I83,'Simulador Piramide-Salarios'!$F$57:$J$74,5,0)),(IF(I83=("Inspector General"),(VLOOKUP(I83,'Simulador Piramide-Salarios'!$F$57:$J$74,5,0)),(IF(I83=("Subinspector"),(VLOOKUP(I83,'Simulador Piramide-Salarios'!$F$57:$J$74,5,0)),(IF(I83=("Inspector"),(VLOOKUP(I83,'Simulador Piramide-Salarios'!$F$57:$J$74,5,0)),(IF(I83=("Inspector Jefe"),(VLOOKUP(I83,'Simulador Piramide-Salarios'!$F$57:$J$74,5,0)),(IF((IF((VLOOKUP(I83,'Simulador Piramide-Salarios'!$F$57:$J$74,3,0))&gt;0,(VLOOKUP(I83,'Simulador Piramide-Salarios'!$F$57:$J$74,3,0)),(VLOOKUP(I83,'Simulador Piramide-Salarios'!$E$57:$J$74,5,0))))&gt;0,(IF((VLOOKUP(I83,'Simulador Piramide-Salarios'!$F$57:$J$74,3,0))&gt;0,(VLOOKUP(I83,'Simulador Piramide-Salarios'!$F$57:$J$74,3,0)),(VLOOKUP(I83,'Simulador Piramide-Salarios'!$E$57:$J$74,5,0)))),(VLOOKUP(I83,'Simulador Piramide-Salarios'!$D$57:$J$74,7,0)))))))))))))</f>
        <v>#N/A</v>
      </c>
      <c r="K83" s="200" t="e">
        <f t="shared" si="10"/>
        <v>#N/A</v>
      </c>
      <c r="L83" s="200" t="e">
        <f t="shared" si="11"/>
        <v>#N/A</v>
      </c>
      <c r="M83" s="211" t="e">
        <f t="shared" si="12"/>
        <v>#N/A</v>
      </c>
      <c r="N83" s="201" t="e">
        <f t="shared" si="13"/>
        <v>#N/A</v>
      </c>
      <c r="O83" s="198">
        <v>0</v>
      </c>
      <c r="P83" s="198">
        <v>0</v>
      </c>
      <c r="Q83" s="200" t="e">
        <f t="shared" si="14"/>
        <v>#N/A</v>
      </c>
      <c r="Z83" s="260"/>
    </row>
    <row r="84" spans="1:26" x14ac:dyDescent="0.25">
      <c r="A84" s="180">
        <f t="shared" si="0"/>
        <v>73</v>
      </c>
      <c r="B84" s="296"/>
      <c r="C84" s="306"/>
      <c r="D84" s="304"/>
      <c r="E84" s="305"/>
      <c r="F84" s="296"/>
      <c r="G84" s="216">
        <f t="shared" si="8"/>
        <v>0</v>
      </c>
      <c r="H84" s="279">
        <f t="shared" si="9"/>
        <v>0</v>
      </c>
      <c r="I84" s="280"/>
      <c r="J84" s="202" t="e">
        <f>IF(I84=("Comisario"),(VLOOKUP(I84,'Simulador Piramide-Salarios'!$F$57:$J$74,5,0)),(IF(I84=("Inspector General"),(VLOOKUP(I84,'Simulador Piramide-Salarios'!$F$57:$J$74,5,0)),(IF(I84=("Subinspector"),(VLOOKUP(I84,'Simulador Piramide-Salarios'!$F$57:$J$74,5,0)),(IF(I84=("Inspector"),(VLOOKUP(I84,'Simulador Piramide-Salarios'!$F$57:$J$74,5,0)),(IF(I84=("Inspector Jefe"),(VLOOKUP(I84,'Simulador Piramide-Salarios'!$F$57:$J$74,5,0)),(IF((IF((VLOOKUP(I84,'Simulador Piramide-Salarios'!$F$57:$J$74,3,0))&gt;0,(VLOOKUP(I84,'Simulador Piramide-Salarios'!$F$57:$J$74,3,0)),(VLOOKUP(I84,'Simulador Piramide-Salarios'!$E$57:$J$74,5,0))))&gt;0,(IF((VLOOKUP(I84,'Simulador Piramide-Salarios'!$F$57:$J$74,3,0))&gt;0,(VLOOKUP(I84,'Simulador Piramide-Salarios'!$F$57:$J$74,3,0)),(VLOOKUP(I84,'Simulador Piramide-Salarios'!$E$57:$J$74,5,0)))),(VLOOKUP(I84,'Simulador Piramide-Salarios'!$D$57:$J$74,7,0)))))))))))))</f>
        <v>#N/A</v>
      </c>
      <c r="K84" s="200" t="e">
        <f t="shared" si="10"/>
        <v>#N/A</v>
      </c>
      <c r="L84" s="200" t="e">
        <f t="shared" si="11"/>
        <v>#N/A</v>
      </c>
      <c r="M84" s="211" t="e">
        <f t="shared" si="12"/>
        <v>#N/A</v>
      </c>
      <c r="N84" s="201" t="e">
        <f t="shared" si="13"/>
        <v>#N/A</v>
      </c>
      <c r="O84" s="198">
        <v>0</v>
      </c>
      <c r="P84" s="198">
        <v>0</v>
      </c>
      <c r="Q84" s="200" t="e">
        <f t="shared" si="14"/>
        <v>#N/A</v>
      </c>
      <c r="Z84" s="260"/>
    </row>
    <row r="85" spans="1:26" x14ac:dyDescent="0.25">
      <c r="A85" s="180">
        <f t="shared" si="0"/>
        <v>74</v>
      </c>
      <c r="B85" s="296"/>
      <c r="C85" s="306"/>
      <c r="D85" s="304"/>
      <c r="E85" s="305"/>
      <c r="F85" s="296"/>
      <c r="G85" s="216">
        <f t="shared" si="8"/>
        <v>0</v>
      </c>
      <c r="H85" s="279">
        <f t="shared" si="9"/>
        <v>0</v>
      </c>
      <c r="I85" s="280"/>
      <c r="J85" s="202" t="e">
        <f>IF(I85=("Comisario"),(VLOOKUP(I85,'Simulador Piramide-Salarios'!$F$57:$J$74,5,0)),(IF(I85=("Inspector General"),(VLOOKUP(I85,'Simulador Piramide-Salarios'!$F$57:$J$74,5,0)),(IF(I85=("Subinspector"),(VLOOKUP(I85,'Simulador Piramide-Salarios'!$F$57:$J$74,5,0)),(IF(I85=("Inspector"),(VLOOKUP(I85,'Simulador Piramide-Salarios'!$F$57:$J$74,5,0)),(IF(I85=("Inspector Jefe"),(VLOOKUP(I85,'Simulador Piramide-Salarios'!$F$57:$J$74,5,0)),(IF((IF((VLOOKUP(I85,'Simulador Piramide-Salarios'!$F$57:$J$74,3,0))&gt;0,(VLOOKUP(I85,'Simulador Piramide-Salarios'!$F$57:$J$74,3,0)),(VLOOKUP(I85,'Simulador Piramide-Salarios'!$E$57:$J$74,5,0))))&gt;0,(IF((VLOOKUP(I85,'Simulador Piramide-Salarios'!$F$57:$J$74,3,0))&gt;0,(VLOOKUP(I85,'Simulador Piramide-Salarios'!$F$57:$J$74,3,0)),(VLOOKUP(I85,'Simulador Piramide-Salarios'!$E$57:$J$74,5,0)))),(VLOOKUP(I85,'Simulador Piramide-Salarios'!$D$57:$J$74,7,0)))))))))))))</f>
        <v>#N/A</v>
      </c>
      <c r="K85" s="200" t="e">
        <f t="shared" si="10"/>
        <v>#N/A</v>
      </c>
      <c r="L85" s="200" t="e">
        <f t="shared" si="11"/>
        <v>#N/A</v>
      </c>
      <c r="M85" s="211" t="e">
        <f t="shared" si="12"/>
        <v>#N/A</v>
      </c>
      <c r="N85" s="201" t="e">
        <f t="shared" si="13"/>
        <v>#N/A</v>
      </c>
      <c r="O85" s="198">
        <v>0</v>
      </c>
      <c r="P85" s="198">
        <v>0</v>
      </c>
      <c r="Q85" s="200" t="e">
        <f t="shared" si="14"/>
        <v>#N/A</v>
      </c>
      <c r="Z85" s="260"/>
    </row>
    <row r="86" spans="1:26" x14ac:dyDescent="0.25">
      <c r="A86" s="180">
        <f t="shared" si="0"/>
        <v>75</v>
      </c>
      <c r="B86" s="296"/>
      <c r="C86" s="306"/>
      <c r="D86" s="304"/>
      <c r="E86" s="305"/>
      <c r="F86" s="296"/>
      <c r="G86" s="216">
        <f t="shared" si="8"/>
        <v>0</v>
      </c>
      <c r="H86" s="279">
        <f t="shared" si="9"/>
        <v>0</v>
      </c>
      <c r="I86" s="280"/>
      <c r="J86" s="202" t="e">
        <f>IF(I86=("Comisario"),(VLOOKUP(I86,'Simulador Piramide-Salarios'!$F$57:$J$74,5,0)),(IF(I86=("Inspector General"),(VLOOKUP(I86,'Simulador Piramide-Salarios'!$F$57:$J$74,5,0)),(IF(I86=("Subinspector"),(VLOOKUP(I86,'Simulador Piramide-Salarios'!$F$57:$J$74,5,0)),(IF(I86=("Inspector"),(VLOOKUP(I86,'Simulador Piramide-Salarios'!$F$57:$J$74,5,0)),(IF(I86=("Inspector Jefe"),(VLOOKUP(I86,'Simulador Piramide-Salarios'!$F$57:$J$74,5,0)),(IF((IF((VLOOKUP(I86,'Simulador Piramide-Salarios'!$F$57:$J$74,3,0))&gt;0,(VLOOKUP(I86,'Simulador Piramide-Salarios'!$F$57:$J$74,3,0)),(VLOOKUP(I86,'Simulador Piramide-Salarios'!$E$57:$J$74,5,0))))&gt;0,(IF((VLOOKUP(I86,'Simulador Piramide-Salarios'!$F$57:$J$74,3,0))&gt;0,(VLOOKUP(I86,'Simulador Piramide-Salarios'!$F$57:$J$74,3,0)),(VLOOKUP(I86,'Simulador Piramide-Salarios'!$E$57:$J$74,5,0)))),(VLOOKUP(I86,'Simulador Piramide-Salarios'!$D$57:$J$74,7,0)))))))))))))</f>
        <v>#N/A</v>
      </c>
      <c r="K86" s="200" t="e">
        <f t="shared" si="10"/>
        <v>#N/A</v>
      </c>
      <c r="L86" s="200" t="e">
        <f t="shared" si="11"/>
        <v>#N/A</v>
      </c>
      <c r="M86" s="211" t="e">
        <f t="shared" si="12"/>
        <v>#N/A</v>
      </c>
      <c r="N86" s="201" t="e">
        <f t="shared" si="13"/>
        <v>#N/A</v>
      </c>
      <c r="O86" s="198">
        <v>0</v>
      </c>
      <c r="P86" s="198">
        <v>0</v>
      </c>
      <c r="Q86" s="200" t="e">
        <f t="shared" si="14"/>
        <v>#N/A</v>
      </c>
      <c r="Z86" s="260"/>
    </row>
    <row r="87" spans="1:26" x14ac:dyDescent="0.25">
      <c r="A87" s="180">
        <f t="shared" si="0"/>
        <v>76</v>
      </c>
      <c r="B87" s="296"/>
      <c r="C87" s="306"/>
      <c r="D87" s="304"/>
      <c r="E87" s="305"/>
      <c r="F87" s="296"/>
      <c r="G87" s="216">
        <f t="shared" si="8"/>
        <v>0</v>
      </c>
      <c r="H87" s="279">
        <f t="shared" si="9"/>
        <v>0</v>
      </c>
      <c r="I87" s="280"/>
      <c r="J87" s="202" t="e">
        <f>IF(I87=("Comisario"),(VLOOKUP(I87,'Simulador Piramide-Salarios'!$F$57:$J$74,5,0)),(IF(I87=("Inspector General"),(VLOOKUP(I87,'Simulador Piramide-Salarios'!$F$57:$J$74,5,0)),(IF(I87=("Subinspector"),(VLOOKUP(I87,'Simulador Piramide-Salarios'!$F$57:$J$74,5,0)),(IF(I87=("Inspector"),(VLOOKUP(I87,'Simulador Piramide-Salarios'!$F$57:$J$74,5,0)),(IF(I87=("Inspector Jefe"),(VLOOKUP(I87,'Simulador Piramide-Salarios'!$F$57:$J$74,5,0)),(IF((IF((VLOOKUP(I87,'Simulador Piramide-Salarios'!$F$57:$J$74,3,0))&gt;0,(VLOOKUP(I87,'Simulador Piramide-Salarios'!$F$57:$J$74,3,0)),(VLOOKUP(I87,'Simulador Piramide-Salarios'!$E$57:$J$74,5,0))))&gt;0,(IF((VLOOKUP(I87,'Simulador Piramide-Salarios'!$F$57:$J$74,3,0))&gt;0,(VLOOKUP(I87,'Simulador Piramide-Salarios'!$F$57:$J$74,3,0)),(VLOOKUP(I87,'Simulador Piramide-Salarios'!$E$57:$J$74,5,0)))),(VLOOKUP(I87,'Simulador Piramide-Salarios'!$D$57:$J$74,7,0)))))))))))))</f>
        <v>#N/A</v>
      </c>
      <c r="K87" s="200" t="e">
        <f t="shared" si="10"/>
        <v>#N/A</v>
      </c>
      <c r="L87" s="200" t="e">
        <f t="shared" si="11"/>
        <v>#N/A</v>
      </c>
      <c r="M87" s="211" t="e">
        <f t="shared" si="12"/>
        <v>#N/A</v>
      </c>
      <c r="N87" s="201" t="e">
        <f t="shared" si="13"/>
        <v>#N/A</v>
      </c>
      <c r="O87" s="198">
        <v>0</v>
      </c>
      <c r="P87" s="198">
        <v>0</v>
      </c>
      <c r="Q87" s="200" t="e">
        <f t="shared" si="14"/>
        <v>#N/A</v>
      </c>
      <c r="Z87" s="260"/>
    </row>
    <row r="88" spans="1:26" x14ac:dyDescent="0.25">
      <c r="A88" s="180">
        <f t="shared" si="0"/>
        <v>77</v>
      </c>
      <c r="B88" s="296"/>
      <c r="C88" s="306"/>
      <c r="D88" s="304"/>
      <c r="E88" s="305"/>
      <c r="F88" s="296"/>
      <c r="G88" s="216">
        <f t="shared" si="8"/>
        <v>0</v>
      </c>
      <c r="H88" s="279">
        <f t="shared" si="9"/>
        <v>0</v>
      </c>
      <c r="I88" s="280"/>
      <c r="J88" s="202" t="e">
        <f>IF(I88=("Comisario"),(VLOOKUP(I88,'Simulador Piramide-Salarios'!$F$57:$J$74,5,0)),(IF(I88=("Inspector General"),(VLOOKUP(I88,'Simulador Piramide-Salarios'!$F$57:$J$74,5,0)),(IF(I88=("Subinspector"),(VLOOKUP(I88,'Simulador Piramide-Salarios'!$F$57:$J$74,5,0)),(IF(I88=("Inspector"),(VLOOKUP(I88,'Simulador Piramide-Salarios'!$F$57:$J$74,5,0)),(IF(I88=("Inspector Jefe"),(VLOOKUP(I88,'Simulador Piramide-Salarios'!$F$57:$J$74,5,0)),(IF((IF((VLOOKUP(I88,'Simulador Piramide-Salarios'!$F$57:$J$74,3,0))&gt;0,(VLOOKUP(I88,'Simulador Piramide-Salarios'!$F$57:$J$74,3,0)),(VLOOKUP(I88,'Simulador Piramide-Salarios'!$E$57:$J$74,5,0))))&gt;0,(IF((VLOOKUP(I88,'Simulador Piramide-Salarios'!$F$57:$J$74,3,0))&gt;0,(VLOOKUP(I88,'Simulador Piramide-Salarios'!$F$57:$J$74,3,0)),(VLOOKUP(I88,'Simulador Piramide-Salarios'!$E$57:$J$74,5,0)))),(VLOOKUP(I88,'Simulador Piramide-Salarios'!$D$57:$J$74,7,0)))))))))))))</f>
        <v>#N/A</v>
      </c>
      <c r="K88" s="200" t="e">
        <f t="shared" si="10"/>
        <v>#N/A</v>
      </c>
      <c r="L88" s="200" t="e">
        <f t="shared" si="11"/>
        <v>#N/A</v>
      </c>
      <c r="M88" s="211" t="e">
        <f t="shared" si="12"/>
        <v>#N/A</v>
      </c>
      <c r="N88" s="201" t="e">
        <f t="shared" si="13"/>
        <v>#N/A</v>
      </c>
      <c r="O88" s="198">
        <v>0</v>
      </c>
      <c r="P88" s="198">
        <v>0</v>
      </c>
      <c r="Q88" s="200" t="e">
        <f t="shared" si="14"/>
        <v>#N/A</v>
      </c>
      <c r="Z88" s="260"/>
    </row>
    <row r="89" spans="1:26" x14ac:dyDescent="0.25">
      <c r="A89" s="180">
        <f t="shared" si="0"/>
        <v>78</v>
      </c>
      <c r="B89" s="296"/>
      <c r="C89" s="306"/>
      <c r="D89" s="304"/>
      <c r="E89" s="305"/>
      <c r="F89" s="296"/>
      <c r="G89" s="216">
        <f t="shared" si="8"/>
        <v>0</v>
      </c>
      <c r="H89" s="279">
        <f t="shared" si="9"/>
        <v>0</v>
      </c>
      <c r="I89" s="280"/>
      <c r="J89" s="202" t="e">
        <f>IF(I89=("Comisario"),(VLOOKUP(I89,'Simulador Piramide-Salarios'!$F$57:$J$74,5,0)),(IF(I89=("Inspector General"),(VLOOKUP(I89,'Simulador Piramide-Salarios'!$F$57:$J$74,5,0)),(IF(I89=("Subinspector"),(VLOOKUP(I89,'Simulador Piramide-Salarios'!$F$57:$J$74,5,0)),(IF(I89=("Inspector"),(VLOOKUP(I89,'Simulador Piramide-Salarios'!$F$57:$J$74,5,0)),(IF(I89=("Inspector Jefe"),(VLOOKUP(I89,'Simulador Piramide-Salarios'!$F$57:$J$74,5,0)),(IF((IF((VLOOKUP(I89,'Simulador Piramide-Salarios'!$F$57:$J$74,3,0))&gt;0,(VLOOKUP(I89,'Simulador Piramide-Salarios'!$F$57:$J$74,3,0)),(VLOOKUP(I89,'Simulador Piramide-Salarios'!$E$57:$J$74,5,0))))&gt;0,(IF((VLOOKUP(I89,'Simulador Piramide-Salarios'!$F$57:$J$74,3,0))&gt;0,(VLOOKUP(I89,'Simulador Piramide-Salarios'!$F$57:$J$74,3,0)),(VLOOKUP(I89,'Simulador Piramide-Salarios'!$E$57:$J$74,5,0)))),(VLOOKUP(I89,'Simulador Piramide-Salarios'!$D$57:$J$74,7,0)))))))))))))</f>
        <v>#N/A</v>
      </c>
      <c r="K89" s="200" t="e">
        <f t="shared" si="10"/>
        <v>#N/A</v>
      </c>
      <c r="L89" s="200" t="e">
        <f t="shared" si="11"/>
        <v>#N/A</v>
      </c>
      <c r="M89" s="211" t="e">
        <f t="shared" si="12"/>
        <v>#N/A</v>
      </c>
      <c r="N89" s="201" t="e">
        <f t="shared" si="13"/>
        <v>#N/A</v>
      </c>
      <c r="O89" s="198">
        <v>0</v>
      </c>
      <c r="P89" s="198">
        <v>0</v>
      </c>
      <c r="Q89" s="200" t="e">
        <f t="shared" si="14"/>
        <v>#N/A</v>
      </c>
      <c r="Z89" s="260"/>
    </row>
    <row r="90" spans="1:26" x14ac:dyDescent="0.25">
      <c r="A90" s="180">
        <f t="shared" si="0"/>
        <v>79</v>
      </c>
      <c r="B90" s="296"/>
      <c r="C90" s="306"/>
      <c r="D90" s="304"/>
      <c r="E90" s="305"/>
      <c r="F90" s="296"/>
      <c r="G90" s="216">
        <f t="shared" si="8"/>
        <v>0</v>
      </c>
      <c r="H90" s="279">
        <f t="shared" si="9"/>
        <v>0</v>
      </c>
      <c r="I90" s="280"/>
      <c r="J90" s="202" t="e">
        <f>IF(I90=("Comisario"),(VLOOKUP(I90,'Simulador Piramide-Salarios'!$F$57:$J$74,5,0)),(IF(I90=("Inspector General"),(VLOOKUP(I90,'Simulador Piramide-Salarios'!$F$57:$J$74,5,0)),(IF(I90=("Subinspector"),(VLOOKUP(I90,'Simulador Piramide-Salarios'!$F$57:$J$74,5,0)),(IF(I90=("Inspector"),(VLOOKUP(I90,'Simulador Piramide-Salarios'!$F$57:$J$74,5,0)),(IF(I90=("Inspector Jefe"),(VLOOKUP(I90,'Simulador Piramide-Salarios'!$F$57:$J$74,5,0)),(IF((IF((VLOOKUP(I90,'Simulador Piramide-Salarios'!$F$57:$J$74,3,0))&gt;0,(VLOOKUP(I90,'Simulador Piramide-Salarios'!$F$57:$J$74,3,0)),(VLOOKUP(I90,'Simulador Piramide-Salarios'!$E$57:$J$74,5,0))))&gt;0,(IF((VLOOKUP(I90,'Simulador Piramide-Salarios'!$F$57:$J$74,3,0))&gt;0,(VLOOKUP(I90,'Simulador Piramide-Salarios'!$F$57:$J$74,3,0)),(VLOOKUP(I90,'Simulador Piramide-Salarios'!$E$57:$J$74,5,0)))),(VLOOKUP(I90,'Simulador Piramide-Salarios'!$D$57:$J$74,7,0)))))))))))))</f>
        <v>#N/A</v>
      </c>
      <c r="K90" s="200" t="e">
        <f t="shared" si="10"/>
        <v>#N/A</v>
      </c>
      <c r="L90" s="200" t="e">
        <f t="shared" si="11"/>
        <v>#N/A</v>
      </c>
      <c r="M90" s="211" t="e">
        <f t="shared" si="12"/>
        <v>#N/A</v>
      </c>
      <c r="N90" s="201" t="e">
        <f t="shared" si="13"/>
        <v>#N/A</v>
      </c>
      <c r="O90" s="198">
        <v>0</v>
      </c>
      <c r="P90" s="198">
        <v>0</v>
      </c>
      <c r="Q90" s="200" t="e">
        <f t="shared" si="14"/>
        <v>#N/A</v>
      </c>
      <c r="Z90" s="260"/>
    </row>
    <row r="91" spans="1:26" x14ac:dyDescent="0.25">
      <c r="A91" s="180">
        <f t="shared" si="0"/>
        <v>80</v>
      </c>
      <c r="B91" s="296"/>
      <c r="C91" s="306"/>
      <c r="D91" s="304"/>
      <c r="E91" s="305"/>
      <c r="F91" s="296"/>
      <c r="G91" s="216">
        <f t="shared" si="8"/>
        <v>0</v>
      </c>
      <c r="H91" s="279">
        <f t="shared" si="9"/>
        <v>0</v>
      </c>
      <c r="I91" s="280"/>
      <c r="J91" s="202" t="e">
        <f>IF(I91=("Comisario"),(VLOOKUP(I91,'Simulador Piramide-Salarios'!$F$57:$J$74,5,0)),(IF(I91=("Inspector General"),(VLOOKUP(I91,'Simulador Piramide-Salarios'!$F$57:$J$74,5,0)),(IF(I91=("Subinspector"),(VLOOKUP(I91,'Simulador Piramide-Salarios'!$F$57:$J$74,5,0)),(IF(I91=("Inspector"),(VLOOKUP(I91,'Simulador Piramide-Salarios'!$F$57:$J$74,5,0)),(IF(I91=("Inspector Jefe"),(VLOOKUP(I91,'Simulador Piramide-Salarios'!$F$57:$J$74,5,0)),(IF((IF((VLOOKUP(I91,'Simulador Piramide-Salarios'!$F$57:$J$74,3,0))&gt;0,(VLOOKUP(I91,'Simulador Piramide-Salarios'!$F$57:$J$74,3,0)),(VLOOKUP(I91,'Simulador Piramide-Salarios'!$E$57:$J$74,5,0))))&gt;0,(IF((VLOOKUP(I91,'Simulador Piramide-Salarios'!$F$57:$J$74,3,0))&gt;0,(VLOOKUP(I91,'Simulador Piramide-Salarios'!$F$57:$J$74,3,0)),(VLOOKUP(I91,'Simulador Piramide-Salarios'!$E$57:$J$74,5,0)))),(VLOOKUP(I91,'Simulador Piramide-Salarios'!$D$57:$J$74,7,0)))))))))))))</f>
        <v>#N/A</v>
      </c>
      <c r="K91" s="200" t="e">
        <f t="shared" si="10"/>
        <v>#N/A</v>
      </c>
      <c r="L91" s="200" t="e">
        <f t="shared" si="11"/>
        <v>#N/A</v>
      </c>
      <c r="M91" s="211" t="e">
        <f t="shared" si="12"/>
        <v>#N/A</v>
      </c>
      <c r="N91" s="201" t="e">
        <f t="shared" si="13"/>
        <v>#N/A</v>
      </c>
      <c r="O91" s="198">
        <v>0</v>
      </c>
      <c r="P91" s="198">
        <v>0</v>
      </c>
      <c r="Q91" s="200" t="e">
        <f t="shared" si="14"/>
        <v>#N/A</v>
      </c>
      <c r="Z91" s="260"/>
    </row>
    <row r="92" spans="1:26" x14ac:dyDescent="0.25">
      <c r="A92" s="180">
        <f t="shared" si="0"/>
        <v>81</v>
      </c>
      <c r="B92" s="296"/>
      <c r="C92" s="306"/>
      <c r="D92" s="304"/>
      <c r="E92" s="305"/>
      <c r="F92" s="296"/>
      <c r="G92" s="216">
        <f t="shared" si="8"/>
        <v>0</v>
      </c>
      <c r="H92" s="279">
        <f t="shared" si="9"/>
        <v>0</v>
      </c>
      <c r="I92" s="280"/>
      <c r="J92" s="202" t="e">
        <f>IF(I92=("Comisario"),(VLOOKUP(I92,'Simulador Piramide-Salarios'!$F$57:$J$74,5,0)),(IF(I92=("Inspector General"),(VLOOKUP(I92,'Simulador Piramide-Salarios'!$F$57:$J$74,5,0)),(IF(I92=("Subinspector"),(VLOOKUP(I92,'Simulador Piramide-Salarios'!$F$57:$J$74,5,0)),(IF(I92=("Inspector"),(VLOOKUP(I92,'Simulador Piramide-Salarios'!$F$57:$J$74,5,0)),(IF(I92=("Inspector Jefe"),(VLOOKUP(I92,'Simulador Piramide-Salarios'!$F$57:$J$74,5,0)),(IF((IF((VLOOKUP(I92,'Simulador Piramide-Salarios'!$F$57:$J$74,3,0))&gt;0,(VLOOKUP(I92,'Simulador Piramide-Salarios'!$F$57:$J$74,3,0)),(VLOOKUP(I92,'Simulador Piramide-Salarios'!$E$57:$J$74,5,0))))&gt;0,(IF((VLOOKUP(I92,'Simulador Piramide-Salarios'!$F$57:$J$74,3,0))&gt;0,(VLOOKUP(I92,'Simulador Piramide-Salarios'!$F$57:$J$74,3,0)),(VLOOKUP(I92,'Simulador Piramide-Salarios'!$E$57:$J$74,5,0)))),(VLOOKUP(I92,'Simulador Piramide-Salarios'!$D$57:$J$74,7,0)))))))))))))</f>
        <v>#N/A</v>
      </c>
      <c r="K92" s="200" t="e">
        <f t="shared" si="10"/>
        <v>#N/A</v>
      </c>
      <c r="L92" s="200" t="e">
        <f t="shared" si="11"/>
        <v>#N/A</v>
      </c>
      <c r="M92" s="211" t="e">
        <f t="shared" si="12"/>
        <v>#N/A</v>
      </c>
      <c r="N92" s="201" t="e">
        <f t="shared" si="13"/>
        <v>#N/A</v>
      </c>
      <c r="O92" s="198">
        <v>0</v>
      </c>
      <c r="P92" s="198">
        <v>0</v>
      </c>
      <c r="Q92" s="200" t="e">
        <f t="shared" si="14"/>
        <v>#N/A</v>
      </c>
      <c r="Z92" s="260"/>
    </row>
    <row r="93" spans="1:26" x14ac:dyDescent="0.25">
      <c r="A93" s="180">
        <f t="shared" si="0"/>
        <v>82</v>
      </c>
      <c r="B93" s="296"/>
      <c r="C93" s="306"/>
      <c r="D93" s="304"/>
      <c r="E93" s="305"/>
      <c r="F93" s="296"/>
      <c r="G93" s="216">
        <f t="shared" si="8"/>
        <v>0</v>
      </c>
      <c r="H93" s="279">
        <f t="shared" si="9"/>
        <v>0</v>
      </c>
      <c r="I93" s="280"/>
      <c r="J93" s="202" t="e">
        <f>IF(I93=("Comisario"),(VLOOKUP(I93,'Simulador Piramide-Salarios'!$F$57:$J$74,5,0)),(IF(I93=("Inspector General"),(VLOOKUP(I93,'Simulador Piramide-Salarios'!$F$57:$J$74,5,0)),(IF(I93=("Subinspector"),(VLOOKUP(I93,'Simulador Piramide-Salarios'!$F$57:$J$74,5,0)),(IF(I93=("Inspector"),(VLOOKUP(I93,'Simulador Piramide-Salarios'!$F$57:$J$74,5,0)),(IF(I93=("Inspector Jefe"),(VLOOKUP(I93,'Simulador Piramide-Salarios'!$F$57:$J$74,5,0)),(IF((IF((VLOOKUP(I93,'Simulador Piramide-Salarios'!$F$57:$J$74,3,0))&gt;0,(VLOOKUP(I93,'Simulador Piramide-Salarios'!$F$57:$J$74,3,0)),(VLOOKUP(I93,'Simulador Piramide-Salarios'!$E$57:$J$74,5,0))))&gt;0,(IF((VLOOKUP(I93,'Simulador Piramide-Salarios'!$F$57:$J$74,3,0))&gt;0,(VLOOKUP(I93,'Simulador Piramide-Salarios'!$F$57:$J$74,3,0)),(VLOOKUP(I93,'Simulador Piramide-Salarios'!$E$57:$J$74,5,0)))),(VLOOKUP(I93,'Simulador Piramide-Salarios'!$D$57:$J$74,7,0)))))))))))))</f>
        <v>#N/A</v>
      </c>
      <c r="K93" s="200" t="e">
        <f t="shared" si="10"/>
        <v>#N/A</v>
      </c>
      <c r="L93" s="200" t="e">
        <f t="shared" si="11"/>
        <v>#N/A</v>
      </c>
      <c r="M93" s="211" t="e">
        <f t="shared" si="12"/>
        <v>#N/A</v>
      </c>
      <c r="N93" s="201" t="e">
        <f t="shared" si="13"/>
        <v>#N/A</v>
      </c>
      <c r="O93" s="198">
        <v>0</v>
      </c>
      <c r="P93" s="198">
        <v>0</v>
      </c>
      <c r="Q93" s="200" t="e">
        <f t="shared" si="14"/>
        <v>#N/A</v>
      </c>
      <c r="Z93" s="260"/>
    </row>
    <row r="94" spans="1:26" x14ac:dyDescent="0.25">
      <c r="A94" s="180">
        <f t="shared" si="0"/>
        <v>83</v>
      </c>
      <c r="B94" s="296"/>
      <c r="C94" s="306"/>
      <c r="D94" s="304"/>
      <c r="E94" s="305"/>
      <c r="F94" s="296"/>
      <c r="G94" s="216">
        <f t="shared" si="8"/>
        <v>0</v>
      </c>
      <c r="H94" s="279">
        <f t="shared" si="9"/>
        <v>0</v>
      </c>
      <c r="I94" s="280"/>
      <c r="J94" s="202" t="e">
        <f>IF(I94=("Comisario"),(VLOOKUP(I94,'Simulador Piramide-Salarios'!$F$57:$J$74,5,0)),(IF(I94=("Inspector General"),(VLOOKUP(I94,'Simulador Piramide-Salarios'!$F$57:$J$74,5,0)),(IF(I94=("Subinspector"),(VLOOKUP(I94,'Simulador Piramide-Salarios'!$F$57:$J$74,5,0)),(IF(I94=("Inspector"),(VLOOKUP(I94,'Simulador Piramide-Salarios'!$F$57:$J$74,5,0)),(IF(I94=("Inspector Jefe"),(VLOOKUP(I94,'Simulador Piramide-Salarios'!$F$57:$J$74,5,0)),(IF((IF((VLOOKUP(I94,'Simulador Piramide-Salarios'!$F$57:$J$74,3,0))&gt;0,(VLOOKUP(I94,'Simulador Piramide-Salarios'!$F$57:$J$74,3,0)),(VLOOKUP(I94,'Simulador Piramide-Salarios'!$E$57:$J$74,5,0))))&gt;0,(IF((VLOOKUP(I94,'Simulador Piramide-Salarios'!$F$57:$J$74,3,0))&gt;0,(VLOOKUP(I94,'Simulador Piramide-Salarios'!$F$57:$J$74,3,0)),(VLOOKUP(I94,'Simulador Piramide-Salarios'!$E$57:$J$74,5,0)))),(VLOOKUP(I94,'Simulador Piramide-Salarios'!$D$57:$J$74,7,0)))))))))))))</f>
        <v>#N/A</v>
      </c>
      <c r="K94" s="200" t="e">
        <f t="shared" si="10"/>
        <v>#N/A</v>
      </c>
      <c r="L94" s="200" t="e">
        <f t="shared" si="11"/>
        <v>#N/A</v>
      </c>
      <c r="M94" s="211" t="e">
        <f t="shared" si="12"/>
        <v>#N/A</v>
      </c>
      <c r="N94" s="201" t="e">
        <f t="shared" si="13"/>
        <v>#N/A</v>
      </c>
      <c r="O94" s="198">
        <v>0</v>
      </c>
      <c r="P94" s="198">
        <v>0</v>
      </c>
      <c r="Q94" s="200" t="e">
        <f t="shared" si="14"/>
        <v>#N/A</v>
      </c>
      <c r="Z94" s="260"/>
    </row>
    <row r="95" spans="1:26" x14ac:dyDescent="0.25">
      <c r="A95" s="180">
        <f t="shared" si="0"/>
        <v>84</v>
      </c>
      <c r="B95" s="296"/>
      <c r="C95" s="306"/>
      <c r="D95" s="304"/>
      <c r="E95" s="305"/>
      <c r="F95" s="296"/>
      <c r="G95" s="216">
        <f t="shared" si="8"/>
        <v>0</v>
      </c>
      <c r="H95" s="279">
        <f t="shared" si="9"/>
        <v>0</v>
      </c>
      <c r="I95" s="280"/>
      <c r="J95" s="202" t="e">
        <f>IF(I95=("Comisario"),(VLOOKUP(I95,'Simulador Piramide-Salarios'!$F$57:$J$74,5,0)),(IF(I95=("Inspector General"),(VLOOKUP(I95,'Simulador Piramide-Salarios'!$F$57:$J$74,5,0)),(IF(I95=("Subinspector"),(VLOOKUP(I95,'Simulador Piramide-Salarios'!$F$57:$J$74,5,0)),(IF(I95=("Inspector"),(VLOOKUP(I95,'Simulador Piramide-Salarios'!$F$57:$J$74,5,0)),(IF(I95=("Inspector Jefe"),(VLOOKUP(I95,'Simulador Piramide-Salarios'!$F$57:$J$74,5,0)),(IF((IF((VLOOKUP(I95,'Simulador Piramide-Salarios'!$F$57:$J$74,3,0))&gt;0,(VLOOKUP(I95,'Simulador Piramide-Salarios'!$F$57:$J$74,3,0)),(VLOOKUP(I95,'Simulador Piramide-Salarios'!$E$57:$J$74,5,0))))&gt;0,(IF((VLOOKUP(I95,'Simulador Piramide-Salarios'!$F$57:$J$74,3,0))&gt;0,(VLOOKUP(I95,'Simulador Piramide-Salarios'!$F$57:$J$74,3,0)),(VLOOKUP(I95,'Simulador Piramide-Salarios'!$E$57:$J$74,5,0)))),(VLOOKUP(I95,'Simulador Piramide-Salarios'!$D$57:$J$74,7,0)))))))))))))</f>
        <v>#N/A</v>
      </c>
      <c r="K95" s="200" t="e">
        <f t="shared" si="10"/>
        <v>#N/A</v>
      </c>
      <c r="L95" s="200" t="e">
        <f t="shared" si="11"/>
        <v>#N/A</v>
      </c>
      <c r="M95" s="211" t="e">
        <f t="shared" si="12"/>
        <v>#N/A</v>
      </c>
      <c r="N95" s="201" t="e">
        <f t="shared" si="13"/>
        <v>#N/A</v>
      </c>
      <c r="O95" s="198">
        <v>0</v>
      </c>
      <c r="P95" s="198">
        <v>0</v>
      </c>
      <c r="Q95" s="200" t="e">
        <f t="shared" si="14"/>
        <v>#N/A</v>
      </c>
      <c r="Z95" s="260"/>
    </row>
    <row r="96" spans="1:26" x14ac:dyDescent="0.25">
      <c r="A96" s="180">
        <f t="shared" si="0"/>
        <v>85</v>
      </c>
      <c r="B96" s="296"/>
      <c r="C96" s="306"/>
      <c r="D96" s="304"/>
      <c r="E96" s="305"/>
      <c r="F96" s="296"/>
      <c r="G96" s="216">
        <f t="shared" si="8"/>
        <v>0</v>
      </c>
      <c r="H96" s="279">
        <f t="shared" si="9"/>
        <v>0</v>
      </c>
      <c r="I96" s="280"/>
      <c r="J96" s="202" t="e">
        <f>IF(I96=("Comisario"),(VLOOKUP(I96,'Simulador Piramide-Salarios'!$F$57:$J$74,5,0)),(IF(I96=("Inspector General"),(VLOOKUP(I96,'Simulador Piramide-Salarios'!$F$57:$J$74,5,0)),(IF(I96=("Subinspector"),(VLOOKUP(I96,'Simulador Piramide-Salarios'!$F$57:$J$74,5,0)),(IF(I96=("Inspector"),(VLOOKUP(I96,'Simulador Piramide-Salarios'!$F$57:$J$74,5,0)),(IF(I96=("Inspector Jefe"),(VLOOKUP(I96,'Simulador Piramide-Salarios'!$F$57:$J$74,5,0)),(IF((IF((VLOOKUP(I96,'Simulador Piramide-Salarios'!$F$57:$J$74,3,0))&gt;0,(VLOOKUP(I96,'Simulador Piramide-Salarios'!$F$57:$J$74,3,0)),(VLOOKUP(I96,'Simulador Piramide-Salarios'!$E$57:$J$74,5,0))))&gt;0,(IF((VLOOKUP(I96,'Simulador Piramide-Salarios'!$F$57:$J$74,3,0))&gt;0,(VLOOKUP(I96,'Simulador Piramide-Salarios'!$F$57:$J$74,3,0)),(VLOOKUP(I96,'Simulador Piramide-Salarios'!$E$57:$J$74,5,0)))),(VLOOKUP(I96,'Simulador Piramide-Salarios'!$D$57:$J$74,7,0)))))))))))))</f>
        <v>#N/A</v>
      </c>
      <c r="K96" s="200" t="e">
        <f t="shared" si="10"/>
        <v>#N/A</v>
      </c>
      <c r="L96" s="200" t="e">
        <f t="shared" si="11"/>
        <v>#N/A</v>
      </c>
      <c r="M96" s="211" t="e">
        <f t="shared" si="12"/>
        <v>#N/A</v>
      </c>
      <c r="N96" s="201" t="e">
        <f t="shared" si="13"/>
        <v>#N/A</v>
      </c>
      <c r="O96" s="198">
        <v>0</v>
      </c>
      <c r="P96" s="198">
        <v>0</v>
      </c>
      <c r="Q96" s="200" t="e">
        <f t="shared" si="14"/>
        <v>#N/A</v>
      </c>
      <c r="Z96" s="260"/>
    </row>
    <row r="97" spans="1:26" x14ac:dyDescent="0.25">
      <c r="A97" s="180">
        <f t="shared" si="0"/>
        <v>86</v>
      </c>
      <c r="B97" s="296"/>
      <c r="C97" s="306"/>
      <c r="D97" s="304"/>
      <c r="E97" s="305"/>
      <c r="F97" s="296"/>
      <c r="G97" s="216">
        <f t="shared" si="8"/>
        <v>0</v>
      </c>
      <c r="H97" s="279">
        <f t="shared" si="9"/>
        <v>0</v>
      </c>
      <c r="I97" s="280"/>
      <c r="J97" s="202" t="e">
        <f>IF(I97=("Comisario"),(VLOOKUP(I97,'Simulador Piramide-Salarios'!$F$57:$J$74,5,0)),(IF(I97=("Inspector General"),(VLOOKUP(I97,'Simulador Piramide-Salarios'!$F$57:$J$74,5,0)),(IF(I97=("Subinspector"),(VLOOKUP(I97,'Simulador Piramide-Salarios'!$F$57:$J$74,5,0)),(IF(I97=("Inspector"),(VLOOKUP(I97,'Simulador Piramide-Salarios'!$F$57:$J$74,5,0)),(IF(I97=("Inspector Jefe"),(VLOOKUP(I97,'Simulador Piramide-Salarios'!$F$57:$J$74,5,0)),(IF((IF((VLOOKUP(I97,'Simulador Piramide-Salarios'!$F$57:$J$74,3,0))&gt;0,(VLOOKUP(I97,'Simulador Piramide-Salarios'!$F$57:$J$74,3,0)),(VLOOKUP(I97,'Simulador Piramide-Salarios'!$E$57:$J$74,5,0))))&gt;0,(IF((VLOOKUP(I97,'Simulador Piramide-Salarios'!$F$57:$J$74,3,0))&gt;0,(VLOOKUP(I97,'Simulador Piramide-Salarios'!$F$57:$J$74,3,0)),(VLOOKUP(I97,'Simulador Piramide-Salarios'!$E$57:$J$74,5,0)))),(VLOOKUP(I97,'Simulador Piramide-Salarios'!$D$57:$J$74,7,0)))))))))))))</f>
        <v>#N/A</v>
      </c>
      <c r="K97" s="200" t="e">
        <f t="shared" si="10"/>
        <v>#N/A</v>
      </c>
      <c r="L97" s="200" t="e">
        <f t="shared" si="11"/>
        <v>#N/A</v>
      </c>
      <c r="M97" s="211" t="e">
        <f t="shared" si="12"/>
        <v>#N/A</v>
      </c>
      <c r="N97" s="201" t="e">
        <f t="shared" si="13"/>
        <v>#N/A</v>
      </c>
      <c r="O97" s="198">
        <v>0</v>
      </c>
      <c r="P97" s="198">
        <v>0</v>
      </c>
      <c r="Q97" s="200" t="e">
        <f t="shared" si="14"/>
        <v>#N/A</v>
      </c>
      <c r="Z97" s="260"/>
    </row>
    <row r="98" spans="1:26" x14ac:dyDescent="0.25">
      <c r="A98" s="180">
        <f t="shared" si="0"/>
        <v>87</v>
      </c>
      <c r="B98" s="296"/>
      <c r="C98" s="306"/>
      <c r="D98" s="304"/>
      <c r="E98" s="305"/>
      <c r="F98" s="296"/>
      <c r="G98" s="216">
        <f t="shared" si="8"/>
        <v>0</v>
      </c>
      <c r="H98" s="279">
        <f t="shared" si="9"/>
        <v>0</v>
      </c>
      <c r="I98" s="280"/>
      <c r="J98" s="202" t="e">
        <f>IF(I98=("Comisario"),(VLOOKUP(I98,'Simulador Piramide-Salarios'!$F$57:$J$74,5,0)),(IF(I98=("Inspector General"),(VLOOKUP(I98,'Simulador Piramide-Salarios'!$F$57:$J$74,5,0)),(IF(I98=("Subinspector"),(VLOOKUP(I98,'Simulador Piramide-Salarios'!$F$57:$J$74,5,0)),(IF(I98=("Inspector"),(VLOOKUP(I98,'Simulador Piramide-Salarios'!$F$57:$J$74,5,0)),(IF(I98=("Inspector Jefe"),(VLOOKUP(I98,'Simulador Piramide-Salarios'!$F$57:$J$74,5,0)),(IF((IF((VLOOKUP(I98,'Simulador Piramide-Salarios'!$F$57:$J$74,3,0))&gt;0,(VLOOKUP(I98,'Simulador Piramide-Salarios'!$F$57:$J$74,3,0)),(VLOOKUP(I98,'Simulador Piramide-Salarios'!$E$57:$J$74,5,0))))&gt;0,(IF((VLOOKUP(I98,'Simulador Piramide-Salarios'!$F$57:$J$74,3,0))&gt;0,(VLOOKUP(I98,'Simulador Piramide-Salarios'!$F$57:$J$74,3,0)),(VLOOKUP(I98,'Simulador Piramide-Salarios'!$E$57:$J$74,5,0)))),(VLOOKUP(I98,'Simulador Piramide-Salarios'!$D$57:$J$74,7,0)))))))))))))</f>
        <v>#N/A</v>
      </c>
      <c r="K98" s="200" t="e">
        <f t="shared" si="10"/>
        <v>#N/A</v>
      </c>
      <c r="L98" s="200" t="e">
        <f t="shared" si="11"/>
        <v>#N/A</v>
      </c>
      <c r="M98" s="211" t="e">
        <f t="shared" si="12"/>
        <v>#N/A</v>
      </c>
      <c r="N98" s="201" t="e">
        <f t="shared" si="13"/>
        <v>#N/A</v>
      </c>
      <c r="O98" s="198">
        <v>0</v>
      </c>
      <c r="P98" s="198">
        <v>0</v>
      </c>
      <c r="Q98" s="200" t="e">
        <f t="shared" si="14"/>
        <v>#N/A</v>
      </c>
      <c r="Z98" s="260"/>
    </row>
    <row r="99" spans="1:26" x14ac:dyDescent="0.25">
      <c r="A99" s="180">
        <f t="shared" si="0"/>
        <v>88</v>
      </c>
      <c r="B99" s="296"/>
      <c r="C99" s="306"/>
      <c r="D99" s="304"/>
      <c r="E99" s="305"/>
      <c r="F99" s="296"/>
      <c r="G99" s="216">
        <f t="shared" si="8"/>
        <v>0</v>
      </c>
      <c r="H99" s="279">
        <f t="shared" si="9"/>
        <v>0</v>
      </c>
      <c r="I99" s="280"/>
      <c r="J99" s="202" t="e">
        <f>IF(I99=("Comisario"),(VLOOKUP(I99,'Simulador Piramide-Salarios'!$F$57:$J$74,5,0)),(IF(I99=("Inspector General"),(VLOOKUP(I99,'Simulador Piramide-Salarios'!$F$57:$J$74,5,0)),(IF(I99=("Subinspector"),(VLOOKUP(I99,'Simulador Piramide-Salarios'!$F$57:$J$74,5,0)),(IF(I99=("Inspector"),(VLOOKUP(I99,'Simulador Piramide-Salarios'!$F$57:$J$74,5,0)),(IF(I99=("Inspector Jefe"),(VLOOKUP(I99,'Simulador Piramide-Salarios'!$F$57:$J$74,5,0)),(IF((IF((VLOOKUP(I99,'Simulador Piramide-Salarios'!$F$57:$J$74,3,0))&gt;0,(VLOOKUP(I99,'Simulador Piramide-Salarios'!$F$57:$J$74,3,0)),(VLOOKUP(I99,'Simulador Piramide-Salarios'!$E$57:$J$74,5,0))))&gt;0,(IF((VLOOKUP(I99,'Simulador Piramide-Salarios'!$F$57:$J$74,3,0))&gt;0,(VLOOKUP(I99,'Simulador Piramide-Salarios'!$F$57:$J$74,3,0)),(VLOOKUP(I99,'Simulador Piramide-Salarios'!$E$57:$J$74,5,0)))),(VLOOKUP(I99,'Simulador Piramide-Salarios'!$D$57:$J$74,7,0)))))))))))))</f>
        <v>#N/A</v>
      </c>
      <c r="K99" s="200" t="e">
        <f t="shared" si="10"/>
        <v>#N/A</v>
      </c>
      <c r="L99" s="200" t="e">
        <f t="shared" si="11"/>
        <v>#N/A</v>
      </c>
      <c r="M99" s="211" t="e">
        <f t="shared" si="12"/>
        <v>#N/A</v>
      </c>
      <c r="N99" s="201" t="e">
        <f t="shared" si="13"/>
        <v>#N/A</v>
      </c>
      <c r="O99" s="198">
        <v>0</v>
      </c>
      <c r="P99" s="198">
        <v>0</v>
      </c>
      <c r="Q99" s="200" t="e">
        <f t="shared" si="14"/>
        <v>#N/A</v>
      </c>
      <c r="Z99" s="260"/>
    </row>
    <row r="100" spans="1:26" x14ac:dyDescent="0.25">
      <c r="A100" s="180">
        <f t="shared" si="0"/>
        <v>89</v>
      </c>
      <c r="B100" s="296"/>
      <c r="C100" s="306"/>
      <c r="D100" s="304"/>
      <c r="E100" s="305"/>
      <c r="F100" s="296"/>
      <c r="G100" s="216">
        <f t="shared" si="8"/>
        <v>0</v>
      </c>
      <c r="H100" s="279">
        <f t="shared" si="9"/>
        <v>0</v>
      </c>
      <c r="I100" s="280"/>
      <c r="J100" s="202" t="e">
        <f>IF(I100=("Comisario"),(VLOOKUP(I100,'Simulador Piramide-Salarios'!$F$57:$J$74,5,0)),(IF(I100=("Inspector General"),(VLOOKUP(I100,'Simulador Piramide-Salarios'!$F$57:$J$74,5,0)),(IF(I100=("Subinspector"),(VLOOKUP(I100,'Simulador Piramide-Salarios'!$F$57:$J$74,5,0)),(IF(I100=("Inspector"),(VLOOKUP(I100,'Simulador Piramide-Salarios'!$F$57:$J$74,5,0)),(IF(I100=("Inspector Jefe"),(VLOOKUP(I100,'Simulador Piramide-Salarios'!$F$57:$J$74,5,0)),(IF((IF((VLOOKUP(I100,'Simulador Piramide-Salarios'!$F$57:$J$74,3,0))&gt;0,(VLOOKUP(I100,'Simulador Piramide-Salarios'!$F$57:$J$74,3,0)),(VLOOKUP(I100,'Simulador Piramide-Salarios'!$E$57:$J$74,5,0))))&gt;0,(IF((VLOOKUP(I100,'Simulador Piramide-Salarios'!$F$57:$J$74,3,0))&gt;0,(VLOOKUP(I100,'Simulador Piramide-Salarios'!$F$57:$J$74,3,0)),(VLOOKUP(I100,'Simulador Piramide-Salarios'!$E$57:$J$74,5,0)))),(VLOOKUP(I100,'Simulador Piramide-Salarios'!$D$57:$J$74,7,0)))))))))))))</f>
        <v>#N/A</v>
      </c>
      <c r="K100" s="200" t="e">
        <f t="shared" si="10"/>
        <v>#N/A</v>
      </c>
      <c r="L100" s="200" t="e">
        <f t="shared" si="11"/>
        <v>#N/A</v>
      </c>
      <c r="M100" s="211" t="e">
        <f t="shared" si="12"/>
        <v>#N/A</v>
      </c>
      <c r="N100" s="201" t="e">
        <f t="shared" si="13"/>
        <v>#N/A</v>
      </c>
      <c r="O100" s="198">
        <v>0</v>
      </c>
      <c r="P100" s="198">
        <v>0</v>
      </c>
      <c r="Q100" s="200" t="e">
        <f t="shared" si="14"/>
        <v>#N/A</v>
      </c>
      <c r="Z100" s="260"/>
    </row>
    <row r="101" spans="1:26" x14ac:dyDescent="0.25">
      <c r="A101" s="180">
        <f t="shared" si="0"/>
        <v>90</v>
      </c>
      <c r="B101" s="296"/>
      <c r="C101" s="306"/>
      <c r="D101" s="304"/>
      <c r="E101" s="305"/>
      <c r="F101" s="296"/>
      <c r="G101" s="216">
        <f t="shared" si="8"/>
        <v>0</v>
      </c>
      <c r="H101" s="279">
        <f t="shared" si="9"/>
        <v>0</v>
      </c>
      <c r="I101" s="280"/>
      <c r="J101" s="202" t="e">
        <f>IF(I101=("Comisario"),(VLOOKUP(I101,'Simulador Piramide-Salarios'!$F$57:$J$74,5,0)),(IF(I101=("Inspector General"),(VLOOKUP(I101,'Simulador Piramide-Salarios'!$F$57:$J$74,5,0)),(IF(I101=("Subinspector"),(VLOOKUP(I101,'Simulador Piramide-Salarios'!$F$57:$J$74,5,0)),(IF(I101=("Inspector"),(VLOOKUP(I101,'Simulador Piramide-Salarios'!$F$57:$J$74,5,0)),(IF(I101=("Inspector Jefe"),(VLOOKUP(I101,'Simulador Piramide-Salarios'!$F$57:$J$74,5,0)),(IF((IF((VLOOKUP(I101,'Simulador Piramide-Salarios'!$F$57:$J$74,3,0))&gt;0,(VLOOKUP(I101,'Simulador Piramide-Salarios'!$F$57:$J$74,3,0)),(VLOOKUP(I101,'Simulador Piramide-Salarios'!$E$57:$J$74,5,0))))&gt;0,(IF((VLOOKUP(I101,'Simulador Piramide-Salarios'!$F$57:$J$74,3,0))&gt;0,(VLOOKUP(I101,'Simulador Piramide-Salarios'!$F$57:$J$74,3,0)),(VLOOKUP(I101,'Simulador Piramide-Salarios'!$E$57:$J$74,5,0)))),(VLOOKUP(I101,'Simulador Piramide-Salarios'!$D$57:$J$74,7,0)))))))))))))</f>
        <v>#N/A</v>
      </c>
      <c r="K101" s="200" t="e">
        <f t="shared" si="10"/>
        <v>#N/A</v>
      </c>
      <c r="L101" s="200" t="e">
        <f t="shared" si="11"/>
        <v>#N/A</v>
      </c>
      <c r="M101" s="211" t="e">
        <f t="shared" si="12"/>
        <v>#N/A</v>
      </c>
      <c r="N101" s="201" t="e">
        <f t="shared" si="13"/>
        <v>#N/A</v>
      </c>
      <c r="O101" s="198">
        <v>0</v>
      </c>
      <c r="P101" s="198">
        <v>0</v>
      </c>
      <c r="Q101" s="200" t="e">
        <f t="shared" si="14"/>
        <v>#N/A</v>
      </c>
      <c r="Z101" s="260"/>
    </row>
    <row r="102" spans="1:26" x14ac:dyDescent="0.25">
      <c r="A102" s="180">
        <f t="shared" si="0"/>
        <v>91</v>
      </c>
      <c r="B102" s="296"/>
      <c r="C102" s="306"/>
      <c r="D102" s="304"/>
      <c r="E102" s="305"/>
      <c r="F102" s="296"/>
      <c r="G102" s="216">
        <f t="shared" si="8"/>
        <v>0</v>
      </c>
      <c r="H102" s="279">
        <f t="shared" si="9"/>
        <v>0</v>
      </c>
      <c r="I102" s="280"/>
      <c r="J102" s="202" t="e">
        <f>IF(I102=("Comisario"),(VLOOKUP(I102,'Simulador Piramide-Salarios'!$F$57:$J$74,5,0)),(IF(I102=("Inspector General"),(VLOOKUP(I102,'Simulador Piramide-Salarios'!$F$57:$J$74,5,0)),(IF(I102=("Subinspector"),(VLOOKUP(I102,'Simulador Piramide-Salarios'!$F$57:$J$74,5,0)),(IF(I102=("Inspector"),(VLOOKUP(I102,'Simulador Piramide-Salarios'!$F$57:$J$74,5,0)),(IF(I102=("Inspector Jefe"),(VLOOKUP(I102,'Simulador Piramide-Salarios'!$F$57:$J$74,5,0)),(IF((IF((VLOOKUP(I102,'Simulador Piramide-Salarios'!$F$57:$J$74,3,0))&gt;0,(VLOOKUP(I102,'Simulador Piramide-Salarios'!$F$57:$J$74,3,0)),(VLOOKUP(I102,'Simulador Piramide-Salarios'!$E$57:$J$74,5,0))))&gt;0,(IF((VLOOKUP(I102,'Simulador Piramide-Salarios'!$F$57:$J$74,3,0))&gt;0,(VLOOKUP(I102,'Simulador Piramide-Salarios'!$F$57:$J$74,3,0)),(VLOOKUP(I102,'Simulador Piramide-Salarios'!$E$57:$J$74,5,0)))),(VLOOKUP(I102,'Simulador Piramide-Salarios'!$D$57:$J$74,7,0)))))))))))))</f>
        <v>#N/A</v>
      </c>
      <c r="K102" s="200" t="e">
        <f t="shared" si="10"/>
        <v>#N/A</v>
      </c>
      <c r="L102" s="200" t="e">
        <f t="shared" si="11"/>
        <v>#N/A</v>
      </c>
      <c r="M102" s="211" t="e">
        <f t="shared" si="12"/>
        <v>#N/A</v>
      </c>
      <c r="N102" s="201" t="e">
        <f t="shared" si="13"/>
        <v>#N/A</v>
      </c>
      <c r="O102" s="198">
        <v>0</v>
      </c>
      <c r="P102" s="198">
        <v>0</v>
      </c>
      <c r="Q102" s="200" t="e">
        <f t="shared" si="14"/>
        <v>#N/A</v>
      </c>
      <c r="Z102" s="260"/>
    </row>
    <row r="103" spans="1:26" x14ac:dyDescent="0.25">
      <c r="A103" s="180">
        <f t="shared" si="0"/>
        <v>92</v>
      </c>
      <c r="B103" s="296"/>
      <c r="C103" s="306"/>
      <c r="D103" s="304"/>
      <c r="E103" s="305"/>
      <c r="F103" s="296"/>
      <c r="G103" s="216">
        <f t="shared" si="8"/>
        <v>0</v>
      </c>
      <c r="H103" s="279">
        <f t="shared" si="9"/>
        <v>0</v>
      </c>
      <c r="I103" s="280"/>
      <c r="J103" s="202" t="e">
        <f>IF(I103=("Comisario"),(VLOOKUP(I103,'Simulador Piramide-Salarios'!$F$57:$J$74,5,0)),(IF(I103=("Inspector General"),(VLOOKUP(I103,'Simulador Piramide-Salarios'!$F$57:$J$74,5,0)),(IF(I103=("Subinspector"),(VLOOKUP(I103,'Simulador Piramide-Salarios'!$F$57:$J$74,5,0)),(IF(I103=("Inspector"),(VLOOKUP(I103,'Simulador Piramide-Salarios'!$F$57:$J$74,5,0)),(IF(I103=("Inspector Jefe"),(VLOOKUP(I103,'Simulador Piramide-Salarios'!$F$57:$J$74,5,0)),(IF((IF((VLOOKUP(I103,'Simulador Piramide-Salarios'!$F$57:$J$74,3,0))&gt;0,(VLOOKUP(I103,'Simulador Piramide-Salarios'!$F$57:$J$74,3,0)),(VLOOKUP(I103,'Simulador Piramide-Salarios'!$E$57:$J$74,5,0))))&gt;0,(IF((VLOOKUP(I103,'Simulador Piramide-Salarios'!$F$57:$J$74,3,0))&gt;0,(VLOOKUP(I103,'Simulador Piramide-Salarios'!$F$57:$J$74,3,0)),(VLOOKUP(I103,'Simulador Piramide-Salarios'!$E$57:$J$74,5,0)))),(VLOOKUP(I103,'Simulador Piramide-Salarios'!$D$57:$J$74,7,0)))))))))))))</f>
        <v>#N/A</v>
      </c>
      <c r="K103" s="200" t="e">
        <f t="shared" si="10"/>
        <v>#N/A</v>
      </c>
      <c r="L103" s="200" t="e">
        <f t="shared" si="11"/>
        <v>#N/A</v>
      </c>
      <c r="M103" s="211" t="e">
        <f t="shared" si="12"/>
        <v>#N/A</v>
      </c>
      <c r="N103" s="201" t="e">
        <f t="shared" si="13"/>
        <v>#N/A</v>
      </c>
      <c r="O103" s="198">
        <v>0</v>
      </c>
      <c r="P103" s="198">
        <v>0</v>
      </c>
      <c r="Q103" s="200" t="e">
        <f t="shared" si="14"/>
        <v>#N/A</v>
      </c>
      <c r="Z103" s="260"/>
    </row>
    <row r="104" spans="1:26" x14ac:dyDescent="0.25">
      <c r="A104" s="180">
        <f t="shared" si="0"/>
        <v>93</v>
      </c>
      <c r="B104" s="296"/>
      <c r="C104" s="306"/>
      <c r="D104" s="304"/>
      <c r="E104" s="305"/>
      <c r="F104" s="296"/>
      <c r="G104" s="216">
        <f t="shared" si="8"/>
        <v>0</v>
      </c>
      <c r="H104" s="279">
        <f t="shared" si="9"/>
        <v>0</v>
      </c>
      <c r="I104" s="280"/>
      <c r="J104" s="202" t="e">
        <f>IF(I104=("Comisario"),(VLOOKUP(I104,'Simulador Piramide-Salarios'!$F$57:$J$74,5,0)),(IF(I104=("Inspector General"),(VLOOKUP(I104,'Simulador Piramide-Salarios'!$F$57:$J$74,5,0)),(IF(I104=("Subinspector"),(VLOOKUP(I104,'Simulador Piramide-Salarios'!$F$57:$J$74,5,0)),(IF(I104=("Inspector"),(VLOOKUP(I104,'Simulador Piramide-Salarios'!$F$57:$J$74,5,0)),(IF(I104=("Inspector Jefe"),(VLOOKUP(I104,'Simulador Piramide-Salarios'!$F$57:$J$74,5,0)),(IF((IF((VLOOKUP(I104,'Simulador Piramide-Salarios'!$F$57:$J$74,3,0))&gt;0,(VLOOKUP(I104,'Simulador Piramide-Salarios'!$F$57:$J$74,3,0)),(VLOOKUP(I104,'Simulador Piramide-Salarios'!$E$57:$J$74,5,0))))&gt;0,(IF((VLOOKUP(I104,'Simulador Piramide-Salarios'!$F$57:$J$74,3,0))&gt;0,(VLOOKUP(I104,'Simulador Piramide-Salarios'!$F$57:$J$74,3,0)),(VLOOKUP(I104,'Simulador Piramide-Salarios'!$E$57:$J$74,5,0)))),(VLOOKUP(I104,'Simulador Piramide-Salarios'!$D$57:$J$74,7,0)))))))))))))</f>
        <v>#N/A</v>
      </c>
      <c r="K104" s="200" t="e">
        <f t="shared" si="10"/>
        <v>#N/A</v>
      </c>
      <c r="L104" s="200" t="e">
        <f t="shared" si="11"/>
        <v>#N/A</v>
      </c>
      <c r="M104" s="211" t="e">
        <f t="shared" si="12"/>
        <v>#N/A</v>
      </c>
      <c r="N104" s="201" t="e">
        <f t="shared" si="13"/>
        <v>#N/A</v>
      </c>
      <c r="O104" s="198">
        <v>0</v>
      </c>
      <c r="P104" s="198">
        <v>0</v>
      </c>
      <c r="Q104" s="200" t="e">
        <f t="shared" si="14"/>
        <v>#N/A</v>
      </c>
      <c r="Z104" s="260"/>
    </row>
    <row r="105" spans="1:26" x14ac:dyDescent="0.25">
      <c r="A105" s="180">
        <f t="shared" si="0"/>
        <v>94</v>
      </c>
      <c r="B105" s="296"/>
      <c r="C105" s="306"/>
      <c r="D105" s="304"/>
      <c r="E105" s="305"/>
      <c r="F105" s="296"/>
      <c r="G105" s="216">
        <f t="shared" si="8"/>
        <v>0</v>
      </c>
      <c r="H105" s="279">
        <f t="shared" si="9"/>
        <v>0</v>
      </c>
      <c r="I105" s="280"/>
      <c r="J105" s="202" t="e">
        <f>IF(I105=("Comisario"),(VLOOKUP(I105,'Simulador Piramide-Salarios'!$F$57:$J$74,5,0)),(IF(I105=("Inspector General"),(VLOOKUP(I105,'Simulador Piramide-Salarios'!$F$57:$J$74,5,0)),(IF(I105=("Subinspector"),(VLOOKUP(I105,'Simulador Piramide-Salarios'!$F$57:$J$74,5,0)),(IF(I105=("Inspector"),(VLOOKUP(I105,'Simulador Piramide-Salarios'!$F$57:$J$74,5,0)),(IF(I105=("Inspector Jefe"),(VLOOKUP(I105,'Simulador Piramide-Salarios'!$F$57:$J$74,5,0)),(IF((IF((VLOOKUP(I105,'Simulador Piramide-Salarios'!$F$57:$J$74,3,0))&gt;0,(VLOOKUP(I105,'Simulador Piramide-Salarios'!$F$57:$J$74,3,0)),(VLOOKUP(I105,'Simulador Piramide-Salarios'!$E$57:$J$74,5,0))))&gt;0,(IF((VLOOKUP(I105,'Simulador Piramide-Salarios'!$F$57:$J$74,3,0))&gt;0,(VLOOKUP(I105,'Simulador Piramide-Salarios'!$F$57:$J$74,3,0)),(VLOOKUP(I105,'Simulador Piramide-Salarios'!$E$57:$J$74,5,0)))),(VLOOKUP(I105,'Simulador Piramide-Salarios'!$D$57:$J$74,7,0)))))))))))))</f>
        <v>#N/A</v>
      </c>
      <c r="K105" s="200" t="e">
        <f t="shared" si="10"/>
        <v>#N/A</v>
      </c>
      <c r="L105" s="200" t="e">
        <f t="shared" si="11"/>
        <v>#N/A</v>
      </c>
      <c r="M105" s="211" t="e">
        <f t="shared" si="12"/>
        <v>#N/A</v>
      </c>
      <c r="N105" s="201" t="e">
        <f t="shared" si="13"/>
        <v>#N/A</v>
      </c>
      <c r="O105" s="198">
        <v>0</v>
      </c>
      <c r="P105" s="198">
        <v>0</v>
      </c>
      <c r="Q105" s="200" t="e">
        <f t="shared" si="14"/>
        <v>#N/A</v>
      </c>
      <c r="Z105" s="260"/>
    </row>
    <row r="106" spans="1:26" x14ac:dyDescent="0.25">
      <c r="A106" s="180">
        <f t="shared" si="0"/>
        <v>95</v>
      </c>
      <c r="B106" s="296"/>
      <c r="C106" s="306"/>
      <c r="D106" s="304"/>
      <c r="E106" s="305"/>
      <c r="F106" s="296"/>
      <c r="G106" s="216">
        <f t="shared" si="8"/>
        <v>0</v>
      </c>
      <c r="H106" s="279">
        <f t="shared" si="9"/>
        <v>0</v>
      </c>
      <c r="I106" s="280"/>
      <c r="J106" s="202" t="e">
        <f>IF(I106=("Comisario"),(VLOOKUP(I106,'Simulador Piramide-Salarios'!$F$57:$J$74,5,0)),(IF(I106=("Inspector General"),(VLOOKUP(I106,'Simulador Piramide-Salarios'!$F$57:$J$74,5,0)),(IF(I106=("Subinspector"),(VLOOKUP(I106,'Simulador Piramide-Salarios'!$F$57:$J$74,5,0)),(IF(I106=("Inspector"),(VLOOKUP(I106,'Simulador Piramide-Salarios'!$F$57:$J$74,5,0)),(IF(I106=("Inspector Jefe"),(VLOOKUP(I106,'Simulador Piramide-Salarios'!$F$57:$J$74,5,0)),(IF((IF((VLOOKUP(I106,'Simulador Piramide-Salarios'!$F$57:$J$74,3,0))&gt;0,(VLOOKUP(I106,'Simulador Piramide-Salarios'!$F$57:$J$74,3,0)),(VLOOKUP(I106,'Simulador Piramide-Salarios'!$E$57:$J$74,5,0))))&gt;0,(IF((VLOOKUP(I106,'Simulador Piramide-Salarios'!$F$57:$J$74,3,0))&gt;0,(VLOOKUP(I106,'Simulador Piramide-Salarios'!$F$57:$J$74,3,0)),(VLOOKUP(I106,'Simulador Piramide-Salarios'!$E$57:$J$74,5,0)))),(VLOOKUP(I106,'Simulador Piramide-Salarios'!$D$57:$J$74,7,0)))))))))))))</f>
        <v>#N/A</v>
      </c>
      <c r="K106" s="200" t="e">
        <f t="shared" si="10"/>
        <v>#N/A</v>
      </c>
      <c r="L106" s="200" t="e">
        <f t="shared" si="11"/>
        <v>#N/A</v>
      </c>
      <c r="M106" s="211" t="e">
        <f t="shared" si="12"/>
        <v>#N/A</v>
      </c>
      <c r="N106" s="201" t="e">
        <f t="shared" si="13"/>
        <v>#N/A</v>
      </c>
      <c r="O106" s="198">
        <v>0</v>
      </c>
      <c r="P106" s="198">
        <v>0</v>
      </c>
      <c r="Q106" s="200" t="e">
        <f t="shared" si="14"/>
        <v>#N/A</v>
      </c>
      <c r="Z106" s="260"/>
    </row>
    <row r="107" spans="1:26" x14ac:dyDescent="0.25">
      <c r="A107" s="180">
        <f t="shared" si="0"/>
        <v>96</v>
      </c>
      <c r="B107" s="296"/>
      <c r="C107" s="306"/>
      <c r="D107" s="304"/>
      <c r="E107" s="305"/>
      <c r="F107" s="296"/>
      <c r="G107" s="216">
        <f t="shared" si="8"/>
        <v>0</v>
      </c>
      <c r="H107" s="279">
        <f t="shared" si="9"/>
        <v>0</v>
      </c>
      <c r="I107" s="280"/>
      <c r="J107" s="202" t="e">
        <f>IF(I107=("Comisario"),(VLOOKUP(I107,'Simulador Piramide-Salarios'!$F$57:$J$74,5,0)),(IF(I107=("Inspector General"),(VLOOKUP(I107,'Simulador Piramide-Salarios'!$F$57:$J$74,5,0)),(IF(I107=("Subinspector"),(VLOOKUP(I107,'Simulador Piramide-Salarios'!$F$57:$J$74,5,0)),(IF(I107=("Inspector"),(VLOOKUP(I107,'Simulador Piramide-Salarios'!$F$57:$J$74,5,0)),(IF(I107=("Inspector Jefe"),(VLOOKUP(I107,'Simulador Piramide-Salarios'!$F$57:$J$74,5,0)),(IF((IF((VLOOKUP(I107,'Simulador Piramide-Salarios'!$F$57:$J$74,3,0))&gt;0,(VLOOKUP(I107,'Simulador Piramide-Salarios'!$F$57:$J$74,3,0)),(VLOOKUP(I107,'Simulador Piramide-Salarios'!$E$57:$J$74,5,0))))&gt;0,(IF((VLOOKUP(I107,'Simulador Piramide-Salarios'!$F$57:$J$74,3,0))&gt;0,(VLOOKUP(I107,'Simulador Piramide-Salarios'!$F$57:$J$74,3,0)),(VLOOKUP(I107,'Simulador Piramide-Salarios'!$E$57:$J$74,5,0)))),(VLOOKUP(I107,'Simulador Piramide-Salarios'!$D$57:$J$74,7,0)))))))))))))</f>
        <v>#N/A</v>
      </c>
      <c r="K107" s="200" t="e">
        <f t="shared" si="10"/>
        <v>#N/A</v>
      </c>
      <c r="L107" s="200" t="e">
        <f t="shared" si="11"/>
        <v>#N/A</v>
      </c>
      <c r="M107" s="211" t="e">
        <f t="shared" si="12"/>
        <v>#N/A</v>
      </c>
      <c r="N107" s="201" t="e">
        <f t="shared" si="13"/>
        <v>#N/A</v>
      </c>
      <c r="O107" s="198">
        <v>0</v>
      </c>
      <c r="P107" s="198">
        <v>0</v>
      </c>
      <c r="Q107" s="200" t="e">
        <f t="shared" si="14"/>
        <v>#N/A</v>
      </c>
      <c r="Z107" s="260"/>
    </row>
    <row r="108" spans="1:26" x14ac:dyDescent="0.25">
      <c r="A108" s="180">
        <f t="shared" si="0"/>
        <v>97</v>
      </c>
      <c r="B108" s="296"/>
      <c r="C108" s="306"/>
      <c r="D108" s="304"/>
      <c r="E108" s="305"/>
      <c r="F108" s="296"/>
      <c r="G108" s="216">
        <f t="shared" si="8"/>
        <v>0</v>
      </c>
      <c r="H108" s="279">
        <f t="shared" si="9"/>
        <v>0</v>
      </c>
      <c r="I108" s="280"/>
      <c r="J108" s="202" t="e">
        <f>IF(I108=("Comisario"),(VLOOKUP(I108,'Simulador Piramide-Salarios'!$F$57:$J$74,5,0)),(IF(I108=("Inspector General"),(VLOOKUP(I108,'Simulador Piramide-Salarios'!$F$57:$J$74,5,0)),(IF(I108=("Subinspector"),(VLOOKUP(I108,'Simulador Piramide-Salarios'!$F$57:$J$74,5,0)),(IF(I108=("Inspector"),(VLOOKUP(I108,'Simulador Piramide-Salarios'!$F$57:$J$74,5,0)),(IF(I108=("Inspector Jefe"),(VLOOKUP(I108,'Simulador Piramide-Salarios'!$F$57:$J$74,5,0)),(IF((IF((VLOOKUP(I108,'Simulador Piramide-Salarios'!$F$57:$J$74,3,0))&gt;0,(VLOOKUP(I108,'Simulador Piramide-Salarios'!$F$57:$J$74,3,0)),(VLOOKUP(I108,'Simulador Piramide-Salarios'!$E$57:$J$74,5,0))))&gt;0,(IF((VLOOKUP(I108,'Simulador Piramide-Salarios'!$F$57:$J$74,3,0))&gt;0,(VLOOKUP(I108,'Simulador Piramide-Salarios'!$F$57:$J$74,3,0)),(VLOOKUP(I108,'Simulador Piramide-Salarios'!$E$57:$J$74,5,0)))),(VLOOKUP(I108,'Simulador Piramide-Salarios'!$D$57:$J$74,7,0)))))))))))))</f>
        <v>#N/A</v>
      </c>
      <c r="K108" s="200" t="e">
        <f t="shared" si="10"/>
        <v>#N/A</v>
      </c>
      <c r="L108" s="200" t="e">
        <f t="shared" si="11"/>
        <v>#N/A</v>
      </c>
      <c r="M108" s="211" t="e">
        <f t="shared" si="12"/>
        <v>#N/A</v>
      </c>
      <c r="N108" s="201" t="e">
        <f t="shared" si="13"/>
        <v>#N/A</v>
      </c>
      <c r="O108" s="198">
        <v>0</v>
      </c>
      <c r="P108" s="198">
        <v>0</v>
      </c>
      <c r="Q108" s="200" t="e">
        <f t="shared" si="14"/>
        <v>#N/A</v>
      </c>
      <c r="Z108" s="260"/>
    </row>
    <row r="109" spans="1:26" x14ac:dyDescent="0.25">
      <c r="A109" s="180">
        <f t="shared" si="0"/>
        <v>98</v>
      </c>
      <c r="B109" s="296"/>
      <c r="C109" s="306"/>
      <c r="D109" s="304"/>
      <c r="E109" s="305"/>
      <c r="F109" s="296"/>
      <c r="G109" s="216">
        <f t="shared" si="8"/>
        <v>0</v>
      </c>
      <c r="H109" s="279">
        <f t="shared" si="9"/>
        <v>0</v>
      </c>
      <c r="I109" s="280"/>
      <c r="J109" s="202" t="e">
        <f>IF(I109=("Comisario"),(VLOOKUP(I109,'Simulador Piramide-Salarios'!$F$57:$J$74,5,0)),(IF(I109=("Inspector General"),(VLOOKUP(I109,'Simulador Piramide-Salarios'!$F$57:$J$74,5,0)),(IF(I109=("Subinspector"),(VLOOKUP(I109,'Simulador Piramide-Salarios'!$F$57:$J$74,5,0)),(IF(I109=("Inspector"),(VLOOKUP(I109,'Simulador Piramide-Salarios'!$F$57:$J$74,5,0)),(IF(I109=("Inspector Jefe"),(VLOOKUP(I109,'Simulador Piramide-Salarios'!$F$57:$J$74,5,0)),(IF((IF((VLOOKUP(I109,'Simulador Piramide-Salarios'!$F$57:$J$74,3,0))&gt;0,(VLOOKUP(I109,'Simulador Piramide-Salarios'!$F$57:$J$74,3,0)),(VLOOKUP(I109,'Simulador Piramide-Salarios'!$E$57:$J$74,5,0))))&gt;0,(IF((VLOOKUP(I109,'Simulador Piramide-Salarios'!$F$57:$J$74,3,0))&gt;0,(VLOOKUP(I109,'Simulador Piramide-Salarios'!$F$57:$J$74,3,0)),(VLOOKUP(I109,'Simulador Piramide-Salarios'!$E$57:$J$74,5,0)))),(VLOOKUP(I109,'Simulador Piramide-Salarios'!$D$57:$J$74,7,0)))))))))))))</f>
        <v>#N/A</v>
      </c>
      <c r="K109" s="200" t="e">
        <f t="shared" si="10"/>
        <v>#N/A</v>
      </c>
      <c r="L109" s="200" t="e">
        <f t="shared" si="11"/>
        <v>#N/A</v>
      </c>
      <c r="M109" s="211" t="e">
        <f t="shared" si="12"/>
        <v>#N/A</v>
      </c>
      <c r="N109" s="201" t="e">
        <f t="shared" si="13"/>
        <v>#N/A</v>
      </c>
      <c r="O109" s="198">
        <v>0</v>
      </c>
      <c r="P109" s="198">
        <v>0</v>
      </c>
      <c r="Q109" s="200" t="e">
        <f t="shared" si="14"/>
        <v>#N/A</v>
      </c>
      <c r="Z109" s="260"/>
    </row>
    <row r="110" spans="1:26" x14ac:dyDescent="0.25">
      <c r="A110" s="180">
        <f t="shared" si="0"/>
        <v>99</v>
      </c>
      <c r="B110" s="296"/>
      <c r="C110" s="306"/>
      <c r="D110" s="304"/>
      <c r="E110" s="305"/>
      <c r="F110" s="296"/>
      <c r="G110" s="216">
        <f t="shared" si="8"/>
        <v>0</v>
      </c>
      <c r="H110" s="279">
        <f t="shared" si="9"/>
        <v>0</v>
      </c>
      <c r="I110" s="280"/>
      <c r="J110" s="202" t="e">
        <f>IF(I110=("Comisario"),(VLOOKUP(I110,'Simulador Piramide-Salarios'!$F$57:$J$74,5,0)),(IF(I110=("Inspector General"),(VLOOKUP(I110,'Simulador Piramide-Salarios'!$F$57:$J$74,5,0)),(IF(I110=("Subinspector"),(VLOOKUP(I110,'Simulador Piramide-Salarios'!$F$57:$J$74,5,0)),(IF(I110=("Inspector"),(VLOOKUP(I110,'Simulador Piramide-Salarios'!$F$57:$J$74,5,0)),(IF(I110=("Inspector Jefe"),(VLOOKUP(I110,'Simulador Piramide-Salarios'!$F$57:$J$74,5,0)),(IF((IF((VLOOKUP(I110,'Simulador Piramide-Salarios'!$F$57:$J$74,3,0))&gt;0,(VLOOKUP(I110,'Simulador Piramide-Salarios'!$F$57:$J$74,3,0)),(VLOOKUP(I110,'Simulador Piramide-Salarios'!$E$57:$J$74,5,0))))&gt;0,(IF((VLOOKUP(I110,'Simulador Piramide-Salarios'!$F$57:$J$74,3,0))&gt;0,(VLOOKUP(I110,'Simulador Piramide-Salarios'!$F$57:$J$74,3,0)),(VLOOKUP(I110,'Simulador Piramide-Salarios'!$E$57:$J$74,5,0)))),(VLOOKUP(I110,'Simulador Piramide-Salarios'!$D$57:$J$74,7,0)))))))))))))</f>
        <v>#N/A</v>
      </c>
      <c r="K110" s="200" t="e">
        <f t="shared" si="10"/>
        <v>#N/A</v>
      </c>
      <c r="L110" s="200" t="e">
        <f t="shared" si="11"/>
        <v>#N/A</v>
      </c>
      <c r="M110" s="211" t="e">
        <f t="shared" si="12"/>
        <v>#N/A</v>
      </c>
      <c r="N110" s="201" t="e">
        <f t="shared" si="13"/>
        <v>#N/A</v>
      </c>
      <c r="O110" s="198">
        <v>0</v>
      </c>
      <c r="P110" s="198">
        <v>0</v>
      </c>
      <c r="Q110" s="200" t="e">
        <f t="shared" si="14"/>
        <v>#N/A</v>
      </c>
      <c r="Z110" s="260"/>
    </row>
    <row r="111" spans="1:26" x14ac:dyDescent="0.25">
      <c r="A111" s="180">
        <f t="shared" si="0"/>
        <v>100</v>
      </c>
      <c r="B111" s="296"/>
      <c r="C111" s="306"/>
      <c r="D111" s="304"/>
      <c r="E111" s="305"/>
      <c r="F111" s="296"/>
      <c r="G111" s="216">
        <f t="shared" si="8"/>
        <v>0</v>
      </c>
      <c r="H111" s="279">
        <f t="shared" si="9"/>
        <v>0</v>
      </c>
      <c r="I111" s="280"/>
      <c r="J111" s="202" t="e">
        <f>IF(I111=("Comisario"),(VLOOKUP(I111,'Simulador Piramide-Salarios'!$F$57:$J$74,5,0)),(IF(I111=("Inspector General"),(VLOOKUP(I111,'Simulador Piramide-Salarios'!$F$57:$J$74,5,0)),(IF(I111=("Subinspector"),(VLOOKUP(I111,'Simulador Piramide-Salarios'!$F$57:$J$74,5,0)),(IF(I111=("Inspector"),(VLOOKUP(I111,'Simulador Piramide-Salarios'!$F$57:$J$74,5,0)),(IF(I111=("Inspector Jefe"),(VLOOKUP(I111,'Simulador Piramide-Salarios'!$F$57:$J$74,5,0)),(IF((IF((VLOOKUP(I111,'Simulador Piramide-Salarios'!$F$57:$J$74,3,0))&gt;0,(VLOOKUP(I111,'Simulador Piramide-Salarios'!$F$57:$J$74,3,0)),(VLOOKUP(I111,'Simulador Piramide-Salarios'!$E$57:$J$74,5,0))))&gt;0,(IF((VLOOKUP(I111,'Simulador Piramide-Salarios'!$F$57:$J$74,3,0))&gt;0,(VLOOKUP(I111,'Simulador Piramide-Salarios'!$F$57:$J$74,3,0)),(VLOOKUP(I111,'Simulador Piramide-Salarios'!$E$57:$J$74,5,0)))),(VLOOKUP(I111,'Simulador Piramide-Salarios'!$D$57:$J$74,7,0)))))))))))))</f>
        <v>#N/A</v>
      </c>
      <c r="K111" s="200" t="e">
        <f t="shared" si="10"/>
        <v>#N/A</v>
      </c>
      <c r="L111" s="200" t="e">
        <f t="shared" si="11"/>
        <v>#N/A</v>
      </c>
      <c r="M111" s="211" t="e">
        <f t="shared" si="12"/>
        <v>#N/A</v>
      </c>
      <c r="N111" s="201" t="e">
        <f t="shared" si="13"/>
        <v>#N/A</v>
      </c>
      <c r="O111" s="198">
        <v>0</v>
      </c>
      <c r="P111" s="198">
        <v>0</v>
      </c>
      <c r="Q111" s="200" t="e">
        <f t="shared" si="14"/>
        <v>#N/A</v>
      </c>
      <c r="Z111" s="260"/>
    </row>
    <row r="112" spans="1:26" x14ac:dyDescent="0.25">
      <c r="A112" s="185"/>
      <c r="B112" s="185"/>
      <c r="C112" s="185"/>
      <c r="D112" s="187"/>
      <c r="E112" s="189"/>
      <c r="F112" s="185"/>
      <c r="G112" s="190"/>
      <c r="H112" s="185"/>
      <c r="I112" s="185"/>
      <c r="J112" s="185"/>
      <c r="K112" s="303" t="e">
        <f>SUM(K12:K111)</f>
        <v>#N/A</v>
      </c>
      <c r="L112" s="185" t="e">
        <f>K112*L$8</f>
        <v>#N/A</v>
      </c>
      <c r="M112" s="185"/>
      <c r="N112" s="185"/>
      <c r="O112" s="185"/>
      <c r="P112" s="185"/>
      <c r="Q112" s="185" t="e">
        <f>IF(L112&lt;=0,0,L112)</f>
        <v>#N/A</v>
      </c>
    </row>
    <row r="113" spans="1:19" ht="29.25" customHeight="1" x14ac:dyDescent="0.25">
      <c r="A113" s="185"/>
      <c r="B113" s="185"/>
      <c r="C113" s="194"/>
      <c r="D113" s="188"/>
      <c r="E113" s="188"/>
      <c r="F113" s="195" t="s">
        <v>155</v>
      </c>
      <c r="G113" s="188"/>
      <c r="H113" s="204">
        <f>SUM(H12:H111)</f>
        <v>0</v>
      </c>
      <c r="I113" s="195" t="s">
        <v>156</v>
      </c>
      <c r="J113" s="204">
        <f>SUMIF(J12:J111,"&gt;0",J12:J111)</f>
        <v>0</v>
      </c>
      <c r="K113" s="302">
        <f>J113-H113</f>
        <v>0</v>
      </c>
      <c r="L113" s="185"/>
      <c r="M113" s="212">
        <f>SUMIF(N12:N111,"&gt;0",N12:N111)</f>
        <v>0</v>
      </c>
      <c r="N113" s="199" t="s">
        <v>161</v>
      </c>
      <c r="O113" s="185"/>
      <c r="P113" s="193" t="s">
        <v>150</v>
      </c>
      <c r="Q113" s="204">
        <f>SUMIF(Q12:Q111,"&gt;0",Q12:Q111)</f>
        <v>0</v>
      </c>
    </row>
    <row r="114" spans="1:19" s="191" customFormat="1" ht="24" customHeight="1" x14ac:dyDescent="0.25">
      <c r="A114" s="185"/>
      <c r="B114" s="185"/>
      <c r="C114" s="185"/>
      <c r="D114" s="188"/>
      <c r="E114" s="188"/>
      <c r="F114" s="185"/>
      <c r="G114" s="188"/>
      <c r="H114" s="204">
        <f ca="1">SUM('Simulador Piramide-Salarios'!J92:J107)</f>
        <v>0</v>
      </c>
      <c r="I114" s="185"/>
      <c r="J114" s="203">
        <f>+'Simulador Piramide-Salarios'!N68+'Simulador Piramide-Salarios'!N85</f>
        <v>0</v>
      </c>
      <c r="K114" s="185"/>
      <c r="L114" s="185"/>
      <c r="M114" s="212"/>
      <c r="N114" s="199" t="s">
        <v>194</v>
      </c>
      <c r="O114" s="185"/>
      <c r="P114" s="193" t="s">
        <v>157</v>
      </c>
      <c r="Q114" s="203">
        <f>+'Simulador Piramide-Salarios'!I114</f>
        <v>0</v>
      </c>
    </row>
    <row r="115" spans="1:19" x14ac:dyDescent="0.25">
      <c r="A115" s="185"/>
      <c r="B115" s="185"/>
      <c r="C115" s="185"/>
      <c r="D115" s="188"/>
      <c r="E115" s="188"/>
      <c r="F115" s="185"/>
      <c r="G115" s="188"/>
      <c r="H115" s="205">
        <f ca="1">H114-H113</f>
        <v>0</v>
      </c>
      <c r="I115" s="185"/>
      <c r="J115" s="205">
        <f>J114-J113</f>
        <v>0</v>
      </c>
      <c r="K115" s="185"/>
      <c r="L115" s="185"/>
      <c r="M115" s="212"/>
      <c r="N115" s="199" t="s">
        <v>162</v>
      </c>
      <c r="O115" s="185"/>
      <c r="P115" s="193" t="s">
        <v>158</v>
      </c>
      <c r="Q115" s="203">
        <f>+Q114-Q113</f>
        <v>0</v>
      </c>
    </row>
    <row r="116" spans="1:19" x14ac:dyDescent="0.25">
      <c r="A116" s="185"/>
      <c r="B116" s="185"/>
      <c r="C116" s="185"/>
      <c r="D116" s="187"/>
      <c r="E116" s="187"/>
      <c r="F116" s="188"/>
      <c r="G116" s="188"/>
      <c r="H116" s="185"/>
      <c r="I116" s="189"/>
      <c r="J116" s="185"/>
      <c r="K116" s="185"/>
      <c r="L116" s="185"/>
      <c r="M116" s="212"/>
      <c r="N116" s="185"/>
      <c r="O116" s="185"/>
      <c r="P116" s="185"/>
      <c r="Q116" s="185"/>
    </row>
    <row r="117" spans="1:19" x14ac:dyDescent="0.25">
      <c r="A117" s="185"/>
      <c r="B117" s="186"/>
      <c r="C117" s="185"/>
      <c r="D117" s="187"/>
      <c r="E117" s="189"/>
      <c r="F117" s="185"/>
      <c r="G117" s="190"/>
      <c r="H117" s="185"/>
      <c r="I117" s="190"/>
      <c r="J117" s="185"/>
      <c r="K117" s="185"/>
      <c r="L117" s="185"/>
      <c r="M117" s="185"/>
      <c r="N117" s="185"/>
      <c r="O117" s="185"/>
      <c r="P117" s="185"/>
      <c r="Q117" s="185"/>
    </row>
    <row r="118" spans="1:19" x14ac:dyDescent="0.25">
      <c r="A118" s="155"/>
      <c r="B118" s="155"/>
      <c r="C118" s="155"/>
      <c r="D118" s="158"/>
      <c r="E118" s="157"/>
      <c r="F118" s="155"/>
      <c r="G118" s="159"/>
      <c r="H118" s="155"/>
      <c r="I118" s="159"/>
      <c r="J118" s="155"/>
      <c r="K118" s="155"/>
      <c r="L118" s="155"/>
      <c r="M118" s="155"/>
      <c r="N118" s="155"/>
      <c r="O118" s="155"/>
      <c r="P118" s="155"/>
    </row>
    <row r="119" spans="1:19" ht="16.5" x14ac:dyDescent="0.3">
      <c r="A119" s="155"/>
      <c r="B119" s="289" t="s">
        <v>182</v>
      </c>
      <c r="C119" s="155"/>
      <c r="D119" s="158"/>
      <c r="E119" s="157"/>
      <c r="F119"/>
      <c r="G119" s="159"/>
      <c r="H119" s="155"/>
      <c r="I119" s="436" t="s">
        <v>47</v>
      </c>
      <c r="J119" s="436"/>
      <c r="K119" s="155"/>
      <c r="L119" s="436" t="s">
        <v>46</v>
      </c>
      <c r="M119" s="436"/>
    </row>
    <row r="120" spans="1:19" ht="16.5" x14ac:dyDescent="0.3">
      <c r="A120" s="197"/>
      <c r="B120" s="156"/>
      <c r="C120"/>
      <c r="D120" s="158"/>
      <c r="E120" s="157"/>
      <c r="F120" s="206"/>
      <c r="G120" s="159"/>
      <c r="H120" s="155"/>
      <c r="I120" s="181"/>
      <c r="J120" s="182"/>
      <c r="K120" s="155"/>
      <c r="L120" s="181"/>
      <c r="M120" s="182"/>
    </row>
    <row r="121" spans="1:19" ht="16.5" x14ac:dyDescent="0.3">
      <c r="A121" s="155"/>
      <c r="B121" s="155"/>
      <c r="D121" s="155"/>
      <c r="E121" s="157"/>
      <c r="F121" s="206"/>
      <c r="G121" s="159"/>
      <c r="H121" s="155"/>
      <c r="I121" s="183"/>
      <c r="J121" s="184"/>
      <c r="K121" s="155"/>
      <c r="L121" s="183"/>
      <c r="M121" s="184"/>
    </row>
    <row r="122" spans="1:19" x14ac:dyDescent="0.25">
      <c r="A122" s="155"/>
      <c r="B122" s="156"/>
      <c r="D122" s="158"/>
      <c r="E122" s="157"/>
      <c r="F122"/>
      <c r="G122" s="159"/>
      <c r="H122" s="155"/>
      <c r="I122" s="437"/>
      <c r="J122" s="437"/>
      <c r="K122" s="155"/>
      <c r="L122" s="438"/>
      <c r="M122" s="438"/>
      <c r="N122" s="155"/>
      <c r="O122" s="155"/>
      <c r="P122" s="155"/>
    </row>
    <row r="123" spans="1:19" x14ac:dyDescent="0.25">
      <c r="A123" s="155"/>
      <c r="B123" s="156"/>
      <c r="C123"/>
      <c r="D123" s="158"/>
      <c r="E123" s="157"/>
      <c r="F123" s="206"/>
      <c r="G123" s="159"/>
      <c r="H123" s="155"/>
      <c r="I123" s="362" t="s">
        <v>153</v>
      </c>
      <c r="J123" s="363"/>
      <c r="K123" s="155"/>
      <c r="L123" s="362" t="s">
        <v>152</v>
      </c>
      <c r="M123" s="363"/>
      <c r="N123" s="155"/>
      <c r="O123" s="155"/>
      <c r="P123" s="155"/>
    </row>
    <row r="124" spans="1:19" ht="15.75" thickBot="1" x14ac:dyDescent="0.3">
      <c r="A124" s="155"/>
      <c r="B124" s="156"/>
      <c r="D124" s="158"/>
      <c r="E124" s="157"/>
      <c r="F124" s="206"/>
      <c r="G124" s="159"/>
      <c r="H124" s="155"/>
      <c r="I124" s="364"/>
      <c r="J124" s="364"/>
      <c r="K124" s="155"/>
      <c r="L124" s="364"/>
      <c r="M124" s="364"/>
      <c r="N124" s="155"/>
      <c r="O124" s="155"/>
      <c r="P124" s="155"/>
    </row>
    <row r="125" spans="1:19" ht="15.75" thickTop="1" x14ac:dyDescent="0.25">
      <c r="A125" s="155"/>
      <c r="B125" s="156"/>
      <c r="D125" s="158"/>
      <c r="E125" s="157"/>
      <c r="F125"/>
      <c r="G125" s="159"/>
      <c r="H125" s="155"/>
      <c r="I125" s="159"/>
      <c r="J125" s="155"/>
      <c r="K125" s="155"/>
      <c r="L125" s="261"/>
      <c r="M125" s="261"/>
      <c r="N125" s="261"/>
      <c r="R125"/>
      <c r="S125"/>
    </row>
    <row r="126" spans="1:19" ht="38.25" x14ac:dyDescent="0.25">
      <c r="A126" s="155"/>
      <c r="B126" s="156"/>
      <c r="C126"/>
      <c r="D126" s="155"/>
      <c r="E126" s="150" t="s">
        <v>145</v>
      </c>
      <c r="F126" s="150" t="s">
        <v>170</v>
      </c>
      <c r="G126" s="145" t="s">
        <v>126</v>
      </c>
      <c r="H126" s="151" t="s">
        <v>154</v>
      </c>
      <c r="I126" s="152" t="s">
        <v>146</v>
      </c>
      <c r="J126" s="150" t="s">
        <v>147</v>
      </c>
      <c r="K126" s="154" t="s">
        <v>20</v>
      </c>
      <c r="L126"/>
      <c r="M126" s="243" t="s">
        <v>168</v>
      </c>
      <c r="N126" s="243" t="s">
        <v>169</v>
      </c>
      <c r="O126" s="244"/>
      <c r="P126" s="244"/>
      <c r="Q126" s="245" t="s">
        <v>171</v>
      </c>
      <c r="R126" s="245" t="s">
        <v>172</v>
      </c>
      <c r="S126"/>
    </row>
    <row r="127" spans="1:19" x14ac:dyDescent="0.25">
      <c r="C127"/>
      <c r="E127" s="208" t="s">
        <v>41</v>
      </c>
      <c r="F127" s="240">
        <f t="shared" ref="F127:F141" si="15">COUNTIF($G$12:$H$111,E127)</f>
        <v>0</v>
      </c>
      <c r="G127" s="238"/>
      <c r="H127" s="253">
        <f t="shared" ref="H127:H141" ca="1" si="16">SUMIF($G$12:$H$111,E127,($H$12:$H$111))</f>
        <v>0</v>
      </c>
      <c r="I127" s="253">
        <f t="shared" ref="I127:I141" ca="1" si="17">SUMIF($I$12:$Q$111,E127,($J$12:$J$111))</f>
        <v>0</v>
      </c>
      <c r="J127" s="253">
        <f t="shared" ref="J127:J141" ca="1" si="18">SUMIF($I$12:$Q$111,E127,($N$12:$N$111))</f>
        <v>0</v>
      </c>
      <c r="K127" s="253">
        <f t="shared" ref="K127:K141" ca="1" si="19">SUMIF($I$12:$Q$111,E127,($Q$12:$Q$111))</f>
        <v>0</v>
      </c>
      <c r="L127" s="260" t="s">
        <v>41</v>
      </c>
      <c r="M127" s="250">
        <v>0</v>
      </c>
      <c r="N127" s="246">
        <v>0</v>
      </c>
      <c r="O127" s="247"/>
      <c r="P127" s="247"/>
      <c r="Q127" s="248">
        <f>+GETPIVOTDATA("Núm. Elementos.",$L$125,"Rango","Policía ")-F127</f>
        <v>0</v>
      </c>
      <c r="R127" s="251">
        <f ca="1">+GETPIVOTDATA("Suma Tabular.",$L$125,"Rango","Policía ")-I127</f>
        <v>0</v>
      </c>
      <c r="S127"/>
    </row>
    <row r="128" spans="1:19" x14ac:dyDescent="0.25">
      <c r="E128" s="208" t="s">
        <v>34</v>
      </c>
      <c r="F128" s="240">
        <f t="shared" si="15"/>
        <v>0</v>
      </c>
      <c r="G128" s="238"/>
      <c r="H128" s="253">
        <f t="shared" ca="1" si="16"/>
        <v>0</v>
      </c>
      <c r="I128" s="253">
        <f t="shared" ca="1" si="17"/>
        <v>0</v>
      </c>
      <c r="J128" s="253">
        <f t="shared" ca="1" si="18"/>
        <v>0</v>
      </c>
      <c r="K128" s="253">
        <f t="shared" ca="1" si="19"/>
        <v>0</v>
      </c>
      <c r="L128" s="260" t="s">
        <v>34</v>
      </c>
      <c r="M128" s="250">
        <v>0</v>
      </c>
      <c r="N128" s="246">
        <v>0</v>
      </c>
      <c r="O128" s="247"/>
      <c r="P128" s="247"/>
      <c r="Q128" s="248">
        <f>+GETPIVOTDATA("Núm. Elementos.",$L$125,"Rango","Policía 3°")-F128</f>
        <v>0</v>
      </c>
      <c r="R128" s="251">
        <f ca="1">+GETPIVOTDATA("Suma Tabular.",$L$125,"Rango","Policía 3°")-I128</f>
        <v>0</v>
      </c>
      <c r="S128"/>
    </row>
    <row r="129" spans="5:19" x14ac:dyDescent="0.25">
      <c r="E129" s="208" t="s">
        <v>35</v>
      </c>
      <c r="F129" s="240">
        <f t="shared" si="15"/>
        <v>0</v>
      </c>
      <c r="G129" s="238"/>
      <c r="H129" s="253">
        <f t="shared" ca="1" si="16"/>
        <v>0</v>
      </c>
      <c r="I129" s="253">
        <f t="shared" ca="1" si="17"/>
        <v>0</v>
      </c>
      <c r="J129" s="253">
        <f t="shared" ca="1" si="18"/>
        <v>0</v>
      </c>
      <c r="K129" s="253">
        <f t="shared" ca="1" si="19"/>
        <v>0</v>
      </c>
      <c r="L129" s="260" t="s">
        <v>35</v>
      </c>
      <c r="M129" s="250">
        <v>0</v>
      </c>
      <c r="N129" s="246">
        <v>0</v>
      </c>
      <c r="O129" s="247"/>
      <c r="P129" s="247"/>
      <c r="Q129" s="248">
        <f>+GETPIVOTDATA("Núm. Elementos.",$L$125,"Rango","Policía 2°")-F129</f>
        <v>0</v>
      </c>
      <c r="R129" s="251">
        <f ca="1">+GETPIVOTDATA("Suma Tabular.",$L$125,"Rango","Policía 2°")-I129</f>
        <v>0</v>
      </c>
      <c r="S129"/>
    </row>
    <row r="130" spans="5:19" x14ac:dyDescent="0.25">
      <c r="E130" s="208" t="s">
        <v>36</v>
      </c>
      <c r="F130" s="240">
        <f t="shared" si="15"/>
        <v>0</v>
      </c>
      <c r="G130" s="238"/>
      <c r="H130" s="253">
        <f t="shared" ca="1" si="16"/>
        <v>0</v>
      </c>
      <c r="I130" s="253">
        <f t="shared" ca="1" si="17"/>
        <v>0</v>
      </c>
      <c r="J130" s="253">
        <f t="shared" ca="1" si="18"/>
        <v>0</v>
      </c>
      <c r="K130" s="253">
        <f t="shared" ca="1" si="19"/>
        <v>0</v>
      </c>
      <c r="L130" s="260" t="s">
        <v>36</v>
      </c>
      <c r="M130" s="250">
        <v>0</v>
      </c>
      <c r="N130" s="246">
        <v>0</v>
      </c>
      <c r="O130" s="247"/>
      <c r="P130" s="247"/>
      <c r="Q130" s="248">
        <f>+GETPIVOTDATA("Núm. Elementos.",$L$125,"Rango","Policía 1°")-F130</f>
        <v>0</v>
      </c>
      <c r="R130" s="251">
        <f ca="1">+GETPIVOTDATA("Suma Tabular.",$L$125,"Rango","Policía 1°")-I130</f>
        <v>0</v>
      </c>
      <c r="S130"/>
    </row>
    <row r="131" spans="5:19" x14ac:dyDescent="0.25">
      <c r="E131" s="208" t="s">
        <v>0</v>
      </c>
      <c r="F131" s="240">
        <f t="shared" si="15"/>
        <v>0</v>
      </c>
      <c r="G131" s="238"/>
      <c r="H131" s="253">
        <f t="shared" ca="1" si="16"/>
        <v>0</v>
      </c>
      <c r="I131" s="253">
        <f t="shared" ca="1" si="17"/>
        <v>0</v>
      </c>
      <c r="J131" s="253">
        <f t="shared" ca="1" si="18"/>
        <v>0</v>
      </c>
      <c r="K131" s="253">
        <f t="shared" ca="1" si="19"/>
        <v>0</v>
      </c>
      <c r="L131" s="260" t="s">
        <v>0</v>
      </c>
      <c r="M131" s="250">
        <v>0</v>
      </c>
      <c r="N131" s="246">
        <v>0</v>
      </c>
      <c r="O131" s="247"/>
      <c r="P131" s="247"/>
      <c r="Q131" s="248">
        <f>+GETPIVOTDATA("Núm. Elementos.",$L$125,"Rango","Suboficial")-F131</f>
        <v>0</v>
      </c>
      <c r="R131" s="251">
        <f ca="1">+GETPIVOTDATA("Suma Tabular.",$L$125,"Rango","Suboficial")-I131</f>
        <v>0</v>
      </c>
      <c r="S131"/>
    </row>
    <row r="132" spans="5:19" x14ac:dyDescent="0.25">
      <c r="E132" s="208" t="s">
        <v>1</v>
      </c>
      <c r="F132" s="240">
        <f t="shared" si="15"/>
        <v>0</v>
      </c>
      <c r="G132" s="238"/>
      <c r="H132" s="253">
        <f t="shared" ca="1" si="16"/>
        <v>0</v>
      </c>
      <c r="I132" s="253">
        <f t="shared" ca="1" si="17"/>
        <v>0</v>
      </c>
      <c r="J132" s="253">
        <f t="shared" ca="1" si="18"/>
        <v>0</v>
      </c>
      <c r="K132" s="253">
        <f t="shared" ca="1" si="19"/>
        <v>0</v>
      </c>
      <c r="L132" s="260" t="s">
        <v>1</v>
      </c>
      <c r="M132" s="250">
        <v>0</v>
      </c>
      <c r="N132" s="246">
        <v>0</v>
      </c>
      <c r="O132" s="247"/>
      <c r="P132" s="247"/>
      <c r="Q132" s="248">
        <f>+GETPIVOTDATA("Núm. Elementos.",$L$125,"Rango","Oficial")-F132</f>
        <v>0</v>
      </c>
      <c r="R132" s="251">
        <f ca="1">+GETPIVOTDATA("Suma Tabular.",$L$125,"Rango","Oficial")-I132</f>
        <v>0</v>
      </c>
      <c r="S132"/>
    </row>
    <row r="133" spans="5:19" x14ac:dyDescent="0.25">
      <c r="E133" s="208" t="s">
        <v>2</v>
      </c>
      <c r="F133" s="240">
        <f t="shared" si="15"/>
        <v>0</v>
      </c>
      <c r="G133" s="238"/>
      <c r="H133" s="253">
        <f t="shared" ca="1" si="16"/>
        <v>0</v>
      </c>
      <c r="I133" s="253">
        <f t="shared" ca="1" si="17"/>
        <v>0</v>
      </c>
      <c r="J133" s="253">
        <f t="shared" ca="1" si="18"/>
        <v>0</v>
      </c>
      <c r="K133" s="253">
        <f t="shared" ca="1" si="19"/>
        <v>0</v>
      </c>
      <c r="L133" s="260" t="s">
        <v>2</v>
      </c>
      <c r="M133" s="250">
        <v>0</v>
      </c>
      <c r="N133" s="246">
        <v>0</v>
      </c>
      <c r="O133" s="247"/>
      <c r="P133" s="247"/>
      <c r="Q133" s="248">
        <f>+GETPIVOTDATA("Núm. Elementos.",$L$125,"Rango","Subinspector")-F133</f>
        <v>0</v>
      </c>
      <c r="R133" s="251">
        <f t="shared" ref="R133:R141" ca="1" si="20">+Q133-I133</f>
        <v>0</v>
      </c>
      <c r="S133"/>
    </row>
    <row r="134" spans="5:19" x14ac:dyDescent="0.25">
      <c r="E134" s="208" t="s">
        <v>3</v>
      </c>
      <c r="F134" s="240">
        <f t="shared" si="15"/>
        <v>0</v>
      </c>
      <c r="G134" s="238"/>
      <c r="H134" s="253">
        <f t="shared" ca="1" si="16"/>
        <v>0</v>
      </c>
      <c r="I134" s="253">
        <f t="shared" ca="1" si="17"/>
        <v>0</v>
      </c>
      <c r="J134" s="253">
        <f t="shared" ca="1" si="18"/>
        <v>0</v>
      </c>
      <c r="K134" s="253">
        <f t="shared" ca="1" si="19"/>
        <v>0</v>
      </c>
      <c r="L134" s="260" t="s">
        <v>3</v>
      </c>
      <c r="M134" s="250">
        <v>0</v>
      </c>
      <c r="N134" s="246">
        <v>0</v>
      </c>
      <c r="O134" s="247"/>
      <c r="P134" s="247"/>
      <c r="Q134" s="248">
        <f>+GETPIVOTDATA("Núm. Elementos.",$L$125,"Rango","Inspector")-F134</f>
        <v>0</v>
      </c>
      <c r="R134" s="251">
        <f t="shared" ca="1" si="20"/>
        <v>0</v>
      </c>
      <c r="S134"/>
    </row>
    <row r="135" spans="5:19" x14ac:dyDescent="0.25">
      <c r="E135" s="208" t="s">
        <v>129</v>
      </c>
      <c r="F135" s="240">
        <f t="shared" si="15"/>
        <v>0</v>
      </c>
      <c r="G135" s="238"/>
      <c r="H135" s="253">
        <f t="shared" ca="1" si="16"/>
        <v>0</v>
      </c>
      <c r="I135" s="253">
        <f t="shared" ca="1" si="17"/>
        <v>0</v>
      </c>
      <c r="J135" s="253">
        <f t="shared" ca="1" si="18"/>
        <v>0</v>
      </c>
      <c r="K135" s="253">
        <f t="shared" ca="1" si="19"/>
        <v>0</v>
      </c>
      <c r="L135" s="260" t="s">
        <v>129</v>
      </c>
      <c r="M135" s="250">
        <v>0</v>
      </c>
      <c r="N135" s="246">
        <v>0</v>
      </c>
      <c r="O135" s="247"/>
      <c r="P135" s="247"/>
      <c r="Q135" s="248">
        <f>+GETPIVOTDATA("Núm. Elementos.",$L$125,"Rango","Inspector Jefe")-F135</f>
        <v>0</v>
      </c>
      <c r="R135" s="251">
        <f t="shared" ca="1" si="20"/>
        <v>0</v>
      </c>
      <c r="S135"/>
    </row>
    <row r="136" spans="5:19" x14ac:dyDescent="0.25">
      <c r="E136" s="208" t="s">
        <v>130</v>
      </c>
      <c r="F136" s="240">
        <f t="shared" si="15"/>
        <v>0</v>
      </c>
      <c r="G136" s="238"/>
      <c r="H136" s="253">
        <f t="shared" ca="1" si="16"/>
        <v>0</v>
      </c>
      <c r="I136" s="253">
        <f t="shared" ca="1" si="17"/>
        <v>0</v>
      </c>
      <c r="J136" s="253">
        <f t="shared" ca="1" si="18"/>
        <v>0</v>
      </c>
      <c r="K136" s="253">
        <f t="shared" ca="1" si="19"/>
        <v>0</v>
      </c>
      <c r="L136" s="260" t="s">
        <v>130</v>
      </c>
      <c r="M136" s="250">
        <v>0</v>
      </c>
      <c r="N136" s="246">
        <v>0</v>
      </c>
      <c r="O136" s="247"/>
      <c r="P136" s="247"/>
      <c r="Q136" s="248">
        <f>+GETPIVOTDATA("Núm. Elementos.",$L$125,"Rango","Inspector General")-F136</f>
        <v>0</v>
      </c>
      <c r="R136" s="251">
        <f t="shared" ca="1" si="20"/>
        <v>0</v>
      </c>
      <c r="S136"/>
    </row>
    <row r="137" spans="5:19" x14ac:dyDescent="0.25">
      <c r="E137" s="208" t="s">
        <v>4</v>
      </c>
      <c r="F137" s="240">
        <f t="shared" si="15"/>
        <v>0</v>
      </c>
      <c r="G137" s="238"/>
      <c r="H137" s="253">
        <f t="shared" ca="1" si="16"/>
        <v>0</v>
      </c>
      <c r="I137" s="253">
        <f t="shared" ca="1" si="17"/>
        <v>0</v>
      </c>
      <c r="J137" s="253">
        <f t="shared" ca="1" si="18"/>
        <v>0</v>
      </c>
      <c r="K137" s="253">
        <f t="shared" ca="1" si="19"/>
        <v>0</v>
      </c>
      <c r="L137" s="260" t="s">
        <v>4</v>
      </c>
      <c r="M137" s="250">
        <v>1</v>
      </c>
      <c r="N137" s="246">
        <v>0</v>
      </c>
      <c r="O137" s="247"/>
      <c r="P137" s="247"/>
      <c r="Q137" s="248">
        <f>+GETPIVOTDATA("Núm. Elementos.",$L$125,"Rango","Comisario")-F137</f>
        <v>1</v>
      </c>
      <c r="R137" s="251">
        <f t="shared" ca="1" si="20"/>
        <v>1</v>
      </c>
      <c r="S137"/>
    </row>
    <row r="138" spans="5:19" x14ac:dyDescent="0.25">
      <c r="E138" s="208" t="s">
        <v>87</v>
      </c>
      <c r="F138" s="240">
        <f t="shared" si="15"/>
        <v>0</v>
      </c>
      <c r="H138" s="253">
        <f t="shared" ca="1" si="16"/>
        <v>0</v>
      </c>
      <c r="I138" s="253">
        <f t="shared" ca="1" si="17"/>
        <v>0</v>
      </c>
      <c r="J138" s="253">
        <f t="shared" ca="1" si="18"/>
        <v>0</v>
      </c>
      <c r="K138" s="253">
        <f t="shared" ca="1" si="19"/>
        <v>0</v>
      </c>
      <c r="L138" s="260" t="s">
        <v>87</v>
      </c>
      <c r="M138" s="250">
        <v>0</v>
      </c>
      <c r="N138" s="246">
        <v>0</v>
      </c>
      <c r="O138" s="247"/>
      <c r="P138" s="247"/>
      <c r="Q138" s="248">
        <f>+GETPIVOTDATA("Núm. Elementos.",$L$125,"Rango","Policía (U. Análisis)")-F138</f>
        <v>0</v>
      </c>
      <c r="R138" s="251">
        <f t="shared" ca="1" si="20"/>
        <v>0</v>
      </c>
      <c r="S138"/>
    </row>
    <row r="139" spans="5:19" x14ac:dyDescent="0.25">
      <c r="E139" s="208" t="s">
        <v>88</v>
      </c>
      <c r="F139" s="240">
        <f t="shared" si="15"/>
        <v>0</v>
      </c>
      <c r="H139" s="253">
        <f t="shared" ca="1" si="16"/>
        <v>0</v>
      </c>
      <c r="I139" s="253">
        <f t="shared" ca="1" si="17"/>
        <v>0</v>
      </c>
      <c r="J139" s="253">
        <f t="shared" ca="1" si="18"/>
        <v>0</v>
      </c>
      <c r="K139" s="253">
        <f t="shared" ca="1" si="19"/>
        <v>0</v>
      </c>
      <c r="L139" s="260" t="s">
        <v>88</v>
      </c>
      <c r="M139" s="250">
        <v>0</v>
      </c>
      <c r="N139" s="246">
        <v>0</v>
      </c>
      <c r="O139" s="247"/>
      <c r="P139" s="247"/>
      <c r="Q139" s="248">
        <f>+GETPIVOTDATA("Núm. Elementos.",$L$125,"Rango","Policía (U. Reacción)")-F139</f>
        <v>0</v>
      </c>
      <c r="R139" s="251">
        <f t="shared" ca="1" si="20"/>
        <v>0</v>
      </c>
      <c r="S139"/>
    </row>
    <row r="140" spans="5:19" x14ac:dyDescent="0.25">
      <c r="E140" s="208" t="s">
        <v>115</v>
      </c>
      <c r="F140" s="240">
        <f t="shared" si="15"/>
        <v>0</v>
      </c>
      <c r="H140" s="253">
        <f t="shared" ca="1" si="16"/>
        <v>0</v>
      </c>
      <c r="I140" s="253">
        <f t="shared" ca="1" si="17"/>
        <v>0</v>
      </c>
      <c r="J140" s="253">
        <f t="shared" ca="1" si="18"/>
        <v>0</v>
      </c>
      <c r="K140" s="253">
        <f t="shared" ca="1" si="19"/>
        <v>0</v>
      </c>
      <c r="L140" s="260" t="s">
        <v>115</v>
      </c>
      <c r="M140" s="250">
        <v>0</v>
      </c>
      <c r="N140" s="246">
        <v>0</v>
      </c>
      <c r="O140" s="247"/>
      <c r="P140" s="247"/>
      <c r="Q140" s="248">
        <f>+GETPIVOTDATA("Núm. Elementos.",$L$125,"Rango","Policía 3° (Jefe U. A.)")-F140</f>
        <v>0</v>
      </c>
      <c r="R140" s="251">
        <f t="shared" ca="1" si="20"/>
        <v>0</v>
      </c>
      <c r="S140"/>
    </row>
    <row r="141" spans="5:19" ht="15.75" thickBot="1" x14ac:dyDescent="0.3">
      <c r="E141" s="208" t="s">
        <v>89</v>
      </c>
      <c r="F141" s="240">
        <f t="shared" si="15"/>
        <v>0</v>
      </c>
      <c r="H141" s="253">
        <f t="shared" ca="1" si="16"/>
        <v>0</v>
      </c>
      <c r="I141" s="253">
        <f t="shared" ca="1" si="17"/>
        <v>0</v>
      </c>
      <c r="J141" s="253">
        <f t="shared" ca="1" si="18"/>
        <v>0</v>
      </c>
      <c r="K141" s="253">
        <f t="shared" ca="1" si="19"/>
        <v>0</v>
      </c>
      <c r="L141" s="260" t="s">
        <v>89</v>
      </c>
      <c r="M141" s="250"/>
      <c r="N141" s="246">
        <v>0</v>
      </c>
      <c r="O141" s="247"/>
      <c r="P141" s="247"/>
      <c r="Q141" s="248">
        <f>+GETPIVOTDATA("Núm. Elementos.",$L$125,"Rango","Policía 3° (Jefe U. R.)")-F141</f>
        <v>0</v>
      </c>
      <c r="R141" s="251">
        <f t="shared" ca="1" si="20"/>
        <v>0</v>
      </c>
      <c r="S141"/>
    </row>
    <row r="142" spans="5:19" x14ac:dyDescent="0.25">
      <c r="E142" s="133" t="s">
        <v>20</v>
      </c>
      <c r="F142" s="241">
        <f>SUM(F127:F141)</f>
        <v>0</v>
      </c>
      <c r="G142" s="239"/>
      <c r="H142" s="254">
        <f ca="1">SUM(H127:H141)</f>
        <v>0</v>
      </c>
      <c r="I142" s="254">
        <f ca="1">SUM(I127:I141)</f>
        <v>0</v>
      </c>
      <c r="J142" s="254">
        <f ca="1">SUM(J127:J141)</f>
        <v>0</v>
      </c>
      <c r="K142" s="254">
        <f ca="1">SUM(K127:K141)</f>
        <v>0</v>
      </c>
      <c r="L142" s="260" t="s">
        <v>167</v>
      </c>
      <c r="M142" s="250">
        <v>1</v>
      </c>
      <c r="N142" s="246">
        <v>0</v>
      </c>
      <c r="O142" s="247"/>
      <c r="P142" s="247"/>
      <c r="Q142" s="249">
        <f>SUM(Q127:Q141)</f>
        <v>1</v>
      </c>
      <c r="R142" s="252">
        <f ca="1">SUM(R127:R141)</f>
        <v>1</v>
      </c>
      <c r="S142"/>
    </row>
    <row r="143" spans="5:19" x14ac:dyDescent="0.25">
      <c r="E143" s="213" t="s">
        <v>163</v>
      </c>
      <c r="F143" s="209"/>
      <c r="H143" s="209">
        <f ca="1">+H113-H142</f>
        <v>0</v>
      </c>
      <c r="I143" s="209">
        <f ca="1">+J113-I142</f>
        <v>0</v>
      </c>
      <c r="J143" s="209">
        <f ca="1">+J142-M113</f>
        <v>0</v>
      </c>
      <c r="K143" s="209">
        <f ca="1">+K142-Q113</f>
        <v>0</v>
      </c>
      <c r="R143"/>
      <c r="S143"/>
    </row>
    <row r="144" spans="5:19" x14ac:dyDescent="0.25">
      <c r="E144" s="146"/>
      <c r="H144" s="210"/>
      <c r="M144"/>
      <c r="N144"/>
      <c r="O144"/>
      <c r="P144"/>
      <c r="Q144"/>
      <c r="R144"/>
      <c r="S144"/>
    </row>
    <row r="145" spans="11:15" x14ac:dyDescent="0.25">
      <c r="M145"/>
      <c r="N145"/>
      <c r="O145"/>
    </row>
    <row r="146" spans="11:15" x14ac:dyDescent="0.25">
      <c r="M146"/>
      <c r="N146"/>
      <c r="O146"/>
    </row>
    <row r="147" spans="11:15" x14ac:dyDescent="0.25">
      <c r="M147"/>
      <c r="N147"/>
      <c r="O147"/>
    </row>
    <row r="148" spans="11:15" x14ac:dyDescent="0.25">
      <c r="M148"/>
      <c r="N148"/>
      <c r="O148"/>
    </row>
    <row r="149" spans="11:15" x14ac:dyDescent="0.25">
      <c r="M149"/>
      <c r="N149"/>
      <c r="O149"/>
    </row>
    <row r="150" spans="11:15" x14ac:dyDescent="0.25">
      <c r="K150"/>
      <c r="M150"/>
      <c r="N150"/>
      <c r="O150"/>
    </row>
    <row r="151" spans="11:15" x14ac:dyDescent="0.25">
      <c r="K151"/>
      <c r="M151"/>
      <c r="N151"/>
      <c r="O151"/>
    </row>
    <row r="152" spans="11:15" x14ac:dyDescent="0.25">
      <c r="K152"/>
      <c r="M152"/>
      <c r="N152"/>
      <c r="O152"/>
    </row>
    <row r="153" spans="11:15" x14ac:dyDescent="0.25">
      <c r="K153"/>
      <c r="M153"/>
      <c r="N153"/>
      <c r="O153"/>
    </row>
    <row r="154" spans="11:15" x14ac:dyDescent="0.25">
      <c r="K154"/>
      <c r="M154"/>
      <c r="N154"/>
      <c r="O154"/>
    </row>
    <row r="155" spans="11:15" x14ac:dyDescent="0.25">
      <c r="K155"/>
      <c r="M155"/>
      <c r="N155"/>
      <c r="O155"/>
    </row>
    <row r="156" spans="11:15" x14ac:dyDescent="0.25">
      <c r="K156"/>
      <c r="M156"/>
      <c r="N156"/>
      <c r="O156"/>
    </row>
    <row r="157" spans="11:15" x14ac:dyDescent="0.25">
      <c r="K157"/>
      <c r="M157"/>
      <c r="N157"/>
      <c r="O157"/>
    </row>
    <row r="158" spans="11:15" x14ac:dyDescent="0.25">
      <c r="K158"/>
      <c r="M158"/>
      <c r="N158"/>
      <c r="O158"/>
    </row>
    <row r="159" spans="11:15" x14ac:dyDescent="0.25">
      <c r="K159"/>
      <c r="M159"/>
      <c r="N159"/>
      <c r="O159"/>
    </row>
    <row r="160" spans="11:15" x14ac:dyDescent="0.25">
      <c r="K160"/>
    </row>
    <row r="161" spans="5:11" x14ac:dyDescent="0.25">
      <c r="K161"/>
    </row>
    <row r="162" spans="5:11" x14ac:dyDescent="0.25">
      <c r="K162"/>
    </row>
    <row r="163" spans="5:11" x14ac:dyDescent="0.25">
      <c r="K163"/>
    </row>
    <row r="164" spans="5:11" x14ac:dyDescent="0.25">
      <c r="K164"/>
    </row>
    <row r="165" spans="5:11" x14ac:dyDescent="0.25">
      <c r="K165"/>
    </row>
    <row r="166" spans="5:11" x14ac:dyDescent="0.25">
      <c r="K166"/>
    </row>
    <row r="167" spans="5:11" x14ac:dyDescent="0.25">
      <c r="K167"/>
    </row>
    <row r="168" spans="5:11" x14ac:dyDescent="0.25">
      <c r="E168"/>
      <c r="F168"/>
      <c r="G168"/>
      <c r="H168"/>
      <c r="I168"/>
    </row>
  </sheetData>
  <sheetProtection password="8928" sheet="1" insertRows="0" sort="0"/>
  <protectedRanges>
    <protectedRange sqref="H12:I111" name="Rango2"/>
    <protectedRange sqref="K8" name="aguinaldo"/>
    <protectedRange sqref="I122:J124" name="nombre 1"/>
    <protectedRange sqref="B12:F111" name="Rango1"/>
    <protectedRange sqref="L122:M124" name="nombre 2"/>
  </protectedRanges>
  <autoFilter ref="A11:Q115">
    <sortState ref="A12:Q2543">
      <sortCondition ref="D11:D2543"/>
    </sortState>
  </autoFilter>
  <mergeCells count="18">
    <mergeCell ref="D2:G2"/>
    <mergeCell ref="D3:G3"/>
    <mergeCell ref="D4:G4"/>
    <mergeCell ref="D5:G5"/>
    <mergeCell ref="A10:D10"/>
    <mergeCell ref="E10:G10"/>
    <mergeCell ref="D7:F7"/>
    <mergeCell ref="D8:F8"/>
    <mergeCell ref="I123:J124"/>
    <mergeCell ref="L123:M124"/>
    <mergeCell ref="D6:G6"/>
    <mergeCell ref="K7:N7"/>
    <mergeCell ref="I119:J119"/>
    <mergeCell ref="L119:M119"/>
    <mergeCell ref="I122:J122"/>
    <mergeCell ref="L122:M122"/>
    <mergeCell ref="H6:J6"/>
    <mergeCell ref="H10:P10"/>
  </mergeCells>
  <dataValidations count="2">
    <dataValidation type="list" allowBlank="1" showDropDown="1" showInputMessage="1" showErrorMessage="1" sqref="E126:E141">
      <formula1>GRADO</formula1>
    </dataValidation>
    <dataValidation type="list" allowBlank="1" showInputMessage="1" showErrorMessage="1" sqref="I12:I111">
      <formula1>GRADO</formula1>
    </dataValidation>
  </dataValidations>
  <pageMargins left="1.1417322834645669" right="0.15748031496062992" top="0.27559055118110237" bottom="0.31496062992125984" header="0.31496062992125984" footer="0.31496062992125984"/>
  <pageSetup paperSize="5" scale="60" fitToHeight="0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63"/>
  <sheetViews>
    <sheetView workbookViewId="0">
      <selection activeCell="D62" sqref="D62:N63"/>
    </sheetView>
  </sheetViews>
  <sheetFormatPr baseColWidth="10" defaultRowHeight="15" x14ac:dyDescent="0.25"/>
  <cols>
    <col min="3" max="3" width="14.85546875" bestFit="1" customWidth="1"/>
  </cols>
  <sheetData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3:15" hidden="1" x14ac:dyDescent="0.25"/>
    <row r="50" spans="3:15" hidden="1" x14ac:dyDescent="0.25"/>
    <row r="54" spans="3:15" ht="30" x14ac:dyDescent="0.25">
      <c r="D54" s="297" t="s">
        <v>40</v>
      </c>
      <c r="E54" s="297" t="s">
        <v>10</v>
      </c>
      <c r="F54" s="297" t="s">
        <v>11</v>
      </c>
      <c r="G54" s="297" t="s">
        <v>12</v>
      </c>
      <c r="H54" s="297" t="s">
        <v>13</v>
      </c>
      <c r="I54" s="297" t="s">
        <v>14</v>
      </c>
      <c r="J54" s="297" t="s">
        <v>15</v>
      </c>
      <c r="K54" s="297" t="s">
        <v>16</v>
      </c>
      <c r="L54" s="297" t="s">
        <v>103</v>
      </c>
      <c r="M54" s="297" t="s">
        <v>104</v>
      </c>
      <c r="N54" s="297" t="s">
        <v>127</v>
      </c>
    </row>
    <row r="55" spans="3:15" x14ac:dyDescent="0.25">
      <c r="C55" t="s">
        <v>183</v>
      </c>
      <c r="D55" s="298">
        <f>'Simulador Piramide-Salarios'!F38</f>
        <v>68</v>
      </c>
      <c r="E55" s="298">
        <f>'Simulador Piramide-Salarios'!G38</f>
        <v>22</v>
      </c>
      <c r="F55" s="298">
        <f>'Simulador Piramide-Salarios'!H38</f>
        <v>7</v>
      </c>
      <c r="G55" s="298">
        <f>'Simulador Piramide-Salarios'!I38</f>
        <v>2</v>
      </c>
      <c r="H55" s="298">
        <f>'Simulador Piramide-Salarios'!J38</f>
        <v>0</v>
      </c>
      <c r="I55" s="298">
        <f>'Simulador Piramide-Salarios'!K38</f>
        <v>0</v>
      </c>
      <c r="J55" s="298">
        <f>'Simulador Piramide-Salarios'!L38</f>
        <v>0</v>
      </c>
      <c r="K55" s="298">
        <f>'Simulador Piramide-Salarios'!M38</f>
        <v>0</v>
      </c>
      <c r="L55" s="298">
        <f>'Simulador Piramide-Salarios'!N38</f>
        <v>0</v>
      </c>
      <c r="M55" s="298">
        <f>'Simulador Piramide-Salarios'!O38</f>
        <v>0</v>
      </c>
      <c r="N55" s="298">
        <f>'Simulador Piramide-Salarios'!P38</f>
        <v>1</v>
      </c>
    </row>
    <row r="56" spans="3:15" x14ac:dyDescent="0.25">
      <c r="C56" t="s">
        <v>184</v>
      </c>
      <c r="D56" s="299">
        <v>0</v>
      </c>
      <c r="E56" s="299">
        <v>0</v>
      </c>
      <c r="F56" s="299">
        <v>0</v>
      </c>
      <c r="G56" s="299">
        <v>0</v>
      </c>
      <c r="H56" s="299">
        <v>0</v>
      </c>
      <c r="I56" s="299">
        <f>'Simulador Piramide-Salarios'!M62</f>
        <v>0</v>
      </c>
      <c r="J56" s="299">
        <f>'Simulador Piramide-Salarios'!M63</f>
        <v>0</v>
      </c>
      <c r="K56" s="299">
        <f>'Simulador Piramide-Salarios'!M64</f>
        <v>0</v>
      </c>
      <c r="L56" s="299">
        <f>'Simulador Piramide-Salarios'!M65</f>
        <v>0</v>
      </c>
      <c r="M56" s="299">
        <f>'Simulador Piramide-Salarios'!M66</f>
        <v>0</v>
      </c>
      <c r="N56" s="299">
        <f>'Simulador Piramide-Salarios'!M67</f>
        <v>0</v>
      </c>
    </row>
    <row r="57" spans="3:15" x14ac:dyDescent="0.25">
      <c r="C57" t="s">
        <v>185</v>
      </c>
      <c r="D57" s="300">
        <f>D56-D55</f>
        <v>-68</v>
      </c>
      <c r="E57" s="301">
        <f t="shared" ref="E57:N57" si="0">E56-E55</f>
        <v>-22</v>
      </c>
      <c r="F57" s="301">
        <f t="shared" si="0"/>
        <v>-7</v>
      </c>
      <c r="G57" s="301">
        <f t="shared" si="0"/>
        <v>-2</v>
      </c>
      <c r="H57" s="301">
        <f t="shared" si="0"/>
        <v>0</v>
      </c>
      <c r="I57" s="301">
        <f t="shared" si="0"/>
        <v>0</v>
      </c>
      <c r="J57" s="301">
        <f t="shared" si="0"/>
        <v>0</v>
      </c>
      <c r="K57" s="301">
        <f t="shared" si="0"/>
        <v>0</v>
      </c>
      <c r="L57" s="301">
        <f t="shared" si="0"/>
        <v>0</v>
      </c>
      <c r="M57" s="301">
        <f t="shared" si="0"/>
        <v>0</v>
      </c>
      <c r="N57" s="301">
        <f t="shared" si="0"/>
        <v>-1</v>
      </c>
    </row>
    <row r="60" spans="3:15" x14ac:dyDescent="0.25">
      <c r="D60" s="447" t="s">
        <v>186</v>
      </c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</row>
    <row r="61" spans="3:15" x14ac:dyDescent="0.25"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</row>
    <row r="62" spans="3:15" x14ac:dyDescent="0.25">
      <c r="D62" s="448" t="s">
        <v>189</v>
      </c>
      <c r="E62" s="448"/>
      <c r="F62" s="448"/>
      <c r="G62" s="448"/>
      <c r="H62" s="448"/>
      <c r="I62" s="448"/>
      <c r="J62" s="448"/>
      <c r="K62" s="448"/>
      <c r="L62" s="448"/>
      <c r="M62" s="448"/>
      <c r="N62" s="448"/>
    </row>
    <row r="63" spans="3:15" x14ac:dyDescent="0.25"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</row>
  </sheetData>
  <mergeCells count="2">
    <mergeCell ref="D60:O61"/>
    <mergeCell ref="D62:N6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C31" sqref="C31"/>
    </sheetView>
  </sheetViews>
  <sheetFormatPr baseColWidth="10" defaultRowHeight="15" x14ac:dyDescent="0.25"/>
  <cols>
    <col min="1" max="2" width="11.42578125" style="260"/>
    <col min="3" max="3" width="38" style="260" customWidth="1"/>
    <col min="4" max="4" width="21.42578125" style="260" customWidth="1"/>
    <col min="5" max="5" width="17.5703125" style="260" customWidth="1"/>
    <col min="6" max="16384" width="11.42578125" style="260"/>
  </cols>
  <sheetData>
    <row r="2" spans="1:9" x14ac:dyDescent="0.25">
      <c r="A2" s="308"/>
      <c r="B2" s="309"/>
      <c r="C2" s="309"/>
      <c r="D2" s="309"/>
      <c r="E2" s="309"/>
      <c r="F2" s="309"/>
      <c r="G2" s="310"/>
    </row>
    <row r="3" spans="1:9" x14ac:dyDescent="0.25">
      <c r="A3" s="311"/>
      <c r="B3" s="312"/>
      <c r="C3" s="312"/>
      <c r="D3" s="312"/>
      <c r="E3" s="312"/>
      <c r="F3" s="312"/>
      <c r="G3" s="313"/>
    </row>
    <row r="4" spans="1:9" x14ac:dyDescent="0.25">
      <c r="A4" s="311"/>
      <c r="B4" s="312"/>
      <c r="C4" s="312"/>
      <c r="D4" s="312"/>
      <c r="E4" s="312"/>
      <c r="F4" s="312"/>
      <c r="G4" s="313"/>
      <c r="H4" s="312"/>
      <c r="I4" s="312"/>
    </row>
    <row r="5" spans="1:9" x14ac:dyDescent="0.25">
      <c r="A5" s="311"/>
      <c r="B5" s="312"/>
      <c r="C5" s="312"/>
      <c r="D5" s="312"/>
      <c r="E5" s="312"/>
      <c r="F5" s="312"/>
      <c r="G5" s="313"/>
      <c r="H5" s="312"/>
      <c r="I5" s="312"/>
    </row>
    <row r="6" spans="1:9" x14ac:dyDescent="0.25">
      <c r="A6" s="311"/>
      <c r="B6" s="312"/>
      <c r="C6" s="312"/>
      <c r="D6" s="312"/>
      <c r="E6" s="312"/>
      <c r="F6" s="312"/>
      <c r="G6" s="313"/>
      <c r="H6" s="312"/>
      <c r="I6" s="312"/>
    </row>
    <row r="7" spans="1:9" x14ac:dyDescent="0.25">
      <c r="A7" s="311"/>
      <c r="B7" s="312"/>
      <c r="C7" s="312"/>
      <c r="D7" s="312"/>
      <c r="E7" s="312"/>
      <c r="F7" s="312"/>
      <c r="G7" s="313"/>
      <c r="H7" s="312"/>
      <c r="I7" s="312"/>
    </row>
    <row r="8" spans="1:9" x14ac:dyDescent="0.25">
      <c r="A8" s="311"/>
      <c r="B8" s="312"/>
      <c r="C8" s="312"/>
      <c r="D8" s="312"/>
      <c r="E8" s="312"/>
      <c r="F8" s="312"/>
      <c r="G8" s="313"/>
      <c r="H8" s="312"/>
      <c r="I8" s="312"/>
    </row>
    <row r="9" spans="1:9" x14ac:dyDescent="0.25">
      <c r="A9" s="311"/>
      <c r="B9" s="312"/>
      <c r="C9" s="312"/>
      <c r="D9" s="312"/>
      <c r="E9" s="312"/>
      <c r="F9" s="312"/>
      <c r="G9" s="313"/>
      <c r="H9" s="312"/>
      <c r="I9" s="312"/>
    </row>
    <row r="10" spans="1:9" x14ac:dyDescent="0.25">
      <c r="A10" s="311"/>
      <c r="B10" s="308"/>
      <c r="C10" s="309"/>
      <c r="D10" s="309"/>
      <c r="E10" s="310"/>
      <c r="F10" s="312"/>
      <c r="G10" s="313"/>
      <c r="H10" s="312"/>
      <c r="I10" s="312"/>
    </row>
    <row r="11" spans="1:9" x14ac:dyDescent="0.25">
      <c r="A11" s="311"/>
      <c r="B11" s="311"/>
      <c r="C11" s="312"/>
      <c r="D11" s="312"/>
      <c r="E11" s="313"/>
      <c r="F11" s="312"/>
      <c r="G11" s="313"/>
      <c r="H11" s="312"/>
      <c r="I11" s="312"/>
    </row>
    <row r="12" spans="1:9" ht="30" x14ac:dyDescent="0.25">
      <c r="A12" s="311"/>
      <c r="B12" s="311"/>
      <c r="C12" s="322" t="s">
        <v>155</v>
      </c>
      <c r="D12" s="318">
        <f>'Matriz de impacto'!H113</f>
        <v>0</v>
      </c>
      <c r="E12" s="313"/>
      <c r="F12" s="312"/>
      <c r="G12" s="313"/>
      <c r="H12" s="312"/>
      <c r="I12" s="312"/>
    </row>
    <row r="13" spans="1:9" ht="30" x14ac:dyDescent="0.25">
      <c r="A13" s="311"/>
      <c r="B13" s="311"/>
      <c r="C13" s="322" t="s">
        <v>156</v>
      </c>
      <c r="D13" s="318">
        <f>'Matriz de impacto'!J113</f>
        <v>0</v>
      </c>
      <c r="E13" s="313"/>
      <c r="F13" s="312"/>
      <c r="G13" s="313"/>
      <c r="H13" s="312"/>
      <c r="I13" s="312"/>
    </row>
    <row r="14" spans="1:9" ht="30" x14ac:dyDescent="0.25">
      <c r="A14" s="311"/>
      <c r="B14" s="311"/>
      <c r="C14" s="322" t="s">
        <v>187</v>
      </c>
      <c r="D14" s="319">
        <f>D13-D12</f>
        <v>0</v>
      </c>
      <c r="E14" s="321"/>
      <c r="F14" s="312"/>
      <c r="G14" s="313"/>
      <c r="H14" s="312"/>
      <c r="I14" s="312"/>
    </row>
    <row r="15" spans="1:9" ht="25.5" x14ac:dyDescent="0.3">
      <c r="A15" s="311"/>
      <c r="B15" s="311"/>
      <c r="C15" s="323" t="s">
        <v>192</v>
      </c>
      <c r="D15" s="320">
        <f>'Matriz de impacto'!Q113</f>
        <v>0</v>
      </c>
      <c r="E15" s="313"/>
      <c r="F15" s="312"/>
      <c r="G15" s="313"/>
      <c r="H15" s="312"/>
      <c r="I15" s="312"/>
    </row>
    <row r="16" spans="1:9" x14ac:dyDescent="0.25">
      <c r="A16" s="311"/>
      <c r="B16" s="311"/>
      <c r="C16" s="312"/>
      <c r="D16" s="312"/>
      <c r="E16" s="313"/>
      <c r="F16" s="312"/>
      <c r="G16" s="313"/>
      <c r="H16" s="312"/>
      <c r="I16" s="312"/>
    </row>
    <row r="17" spans="1:9" x14ac:dyDescent="0.25">
      <c r="A17" s="311"/>
      <c r="B17" s="311"/>
      <c r="C17" s="312"/>
      <c r="D17" s="312"/>
      <c r="E17" s="313"/>
      <c r="F17" s="312"/>
      <c r="G17" s="313"/>
      <c r="H17" s="312"/>
      <c r="I17" s="312"/>
    </row>
    <row r="18" spans="1:9" ht="30" x14ac:dyDescent="0.25">
      <c r="A18" s="311"/>
      <c r="B18" s="311"/>
      <c r="C18" s="314" t="s">
        <v>188</v>
      </c>
      <c r="D18" s="312"/>
      <c r="E18" s="313"/>
      <c r="F18" s="312"/>
      <c r="G18" s="313"/>
      <c r="H18" s="312"/>
      <c r="I18" s="312"/>
    </row>
    <row r="19" spans="1:9" x14ac:dyDescent="0.25">
      <c r="A19" s="311"/>
      <c r="B19" s="311"/>
      <c r="C19" s="312"/>
      <c r="D19" s="312"/>
      <c r="E19" s="313"/>
      <c r="F19" s="312"/>
      <c r="G19" s="313"/>
      <c r="H19" s="312"/>
      <c r="I19" s="312"/>
    </row>
    <row r="20" spans="1:9" x14ac:dyDescent="0.25">
      <c r="A20" s="311"/>
      <c r="B20" s="311"/>
      <c r="C20" s="312"/>
      <c r="D20" s="312"/>
      <c r="E20" s="313"/>
      <c r="F20" s="312"/>
      <c r="G20" s="313"/>
      <c r="H20" s="312"/>
      <c r="I20" s="312"/>
    </row>
    <row r="21" spans="1:9" x14ac:dyDescent="0.25">
      <c r="A21" s="311"/>
      <c r="B21" s="315"/>
      <c r="C21" s="316"/>
      <c r="D21" s="316"/>
      <c r="E21" s="317"/>
      <c r="F21" s="312"/>
      <c r="G21" s="313"/>
      <c r="H21" s="312"/>
      <c r="I21" s="312"/>
    </row>
    <row r="22" spans="1:9" x14ac:dyDescent="0.25">
      <c r="A22" s="311"/>
      <c r="B22" s="312"/>
      <c r="C22" s="312"/>
      <c r="D22" s="312"/>
      <c r="E22" s="312"/>
      <c r="F22" s="312"/>
      <c r="G22" s="313"/>
      <c r="H22" s="312"/>
      <c r="I22" s="312"/>
    </row>
    <row r="23" spans="1:9" x14ac:dyDescent="0.25">
      <c r="A23" s="315"/>
      <c r="B23" s="316"/>
      <c r="C23" s="316"/>
      <c r="D23" s="316"/>
      <c r="E23" s="316"/>
      <c r="F23" s="316"/>
      <c r="G23" s="317"/>
      <c r="H23" s="312"/>
      <c r="I23" s="3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Simulador Piramide-Salarios</vt:lpstr>
      <vt:lpstr>Matriz de impacto</vt:lpstr>
      <vt:lpstr>JERARQUIZACIÓN TERCIARÍA</vt:lpstr>
      <vt:lpstr>GASTOS NÓMINA</vt:lpstr>
      <vt:lpstr>'Matriz de impacto'!Área_de_impresión</vt:lpstr>
      <vt:lpstr>'Simulador Piramide-Salarios'!Área_de_impresión</vt:lpstr>
      <vt:lpstr>'Matriz de impacto'!GRADO</vt:lpstr>
      <vt:lpstr>'Matriz de impacto'!Títulos_a_imprimir</vt:lpstr>
      <vt:lpstr>'Simulador Piramide-Salarios'!Títulos_a_imprimir</vt:lpstr>
    </vt:vector>
  </TitlesOfParts>
  <Company>secretaria de seguridad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Sanchez Luis Julio</dc:creator>
  <cp:lastModifiedBy>Jesús Ricardo Morales Bocanegra</cp:lastModifiedBy>
  <cp:lastPrinted>2018-02-27T20:03:10Z</cp:lastPrinted>
  <dcterms:created xsi:type="dcterms:W3CDTF">2007-10-19T04:21:35Z</dcterms:created>
  <dcterms:modified xsi:type="dcterms:W3CDTF">2024-03-19T19:48:14Z</dcterms:modified>
</cp:coreProperties>
</file>