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03-PROY ALM ENE\04-INFORMES ESP\02\Tablas V11 ESPAÑOL\"/>
    </mc:Choice>
  </mc:AlternateContent>
  <xr:revisionPtr revIDLastSave="0" documentId="13_ncr:1_{AC43B893-B498-44F7-B16E-CB7C38159C81}" xr6:coauthVersionLast="45" xr6:coauthVersionMax="45" xr10:uidLastSave="{00000000-0000-0000-0000-000000000000}"/>
  <bookViews>
    <workbookView xWindow="-120" yWindow="-120" windowWidth="29040" windowHeight="15840" activeTab="1" xr2:uid="{00000000-000D-0000-FFFF-FFFF00000000}"/>
  </bookViews>
  <sheets>
    <sheet name="CAES" sheetId="1" r:id="rId1"/>
    <sheet name="Data" sheetId="2" r:id="rId2"/>
    <sheet name="Uncertanties" sheetId="11" r:id="rId3"/>
    <sheet name="URTI_L" sheetId="14" r:id="rId4"/>
    <sheet name="URTI_U" sheetId="15" r:id="rId5"/>
    <sheet name="15_EC" sheetId="6" r:id="rId6"/>
    <sheet name="16_CC" sheetId="7" r:id="rId7"/>
  </sheets>
  <externalReferences>
    <externalReference r:id="rId8"/>
    <externalReference r:id="rId9"/>
    <externalReference r:id="rId10"/>
  </externalReferences>
  <definedNames>
    <definedName name="BTV11_15">'[1]arbejds ark LARGE New'!$K$33</definedName>
    <definedName name="BVT17_15">'[1]arbejds ark LARGE New'!$S$67</definedName>
    <definedName name="EUR16tilEUR15">'[1]22 Photovoltaics  LARGE Old'!$N$2</definedName>
    <definedName name="Index">#REF!</definedName>
    <definedName name="Sheet">#REF!</definedName>
    <definedName name="Start10" localSheetId="0">'[2]Li-Ion Battery'!#REF!</definedName>
    <definedName name="Start10">'[3]03 Lithium Ion Battery'!#REF!</definedName>
    <definedName name="Start11" localSheetId="0">#REF!</definedName>
    <definedName name="Start12" localSheetId="0">'[2]Molten Salt'!#REF!</definedName>
    <definedName name="Start13" localSheetId="0">#REF!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5">#REF!</definedName>
    <definedName name="Start6">#REF!</definedName>
    <definedName name="Start7" localSheetId="0">#REF!</definedName>
    <definedName name="Start7">#REF!</definedName>
    <definedName name="Start8" localSheetId="0">CAES!#REF!</definedName>
    <definedName name="Start9" localSheetId="0">[2]Flywheels!#REF!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2" l="1"/>
  <c r="J14" i="2"/>
  <c r="H14" i="2"/>
  <c r="F14" i="2"/>
  <c r="K5" i="2" l="1"/>
  <c r="J20" i="2" l="1"/>
  <c r="H20" i="2"/>
  <c r="D33" i="1"/>
  <c r="J33" i="1" l="1"/>
  <c r="G10" i="1" l="1"/>
  <c r="H5" i="2" l="1"/>
  <c r="E34" i="2" l="1"/>
  <c r="E35" i="2" l="1"/>
  <c r="E36" i="2" l="1"/>
  <c r="F28" i="2"/>
  <c r="F27" i="2"/>
  <c r="F26" i="2"/>
  <c r="F25" i="2"/>
  <c r="F34" i="2" l="1"/>
  <c r="F33" i="2"/>
  <c r="F35" i="2"/>
  <c r="F36" i="2"/>
  <c r="E37" i="2"/>
  <c r="F37" i="2" s="1"/>
  <c r="E30" i="2"/>
  <c r="D26" i="2"/>
  <c r="D27" i="2" s="1"/>
  <c r="D28" i="2" s="1"/>
  <c r="F27" i="1" l="1"/>
  <c r="F33" i="1" s="1"/>
  <c r="K16" i="2"/>
  <c r="E29" i="2"/>
  <c r="I28" i="2"/>
  <c r="I27" i="2"/>
  <c r="I26" i="2"/>
  <c r="I25" i="2"/>
  <c r="I29" i="2" l="1"/>
  <c r="G28" i="2"/>
  <c r="H28" i="2" s="1"/>
  <c r="G27" i="2"/>
  <c r="H27" i="2" s="1"/>
  <c r="G26" i="2"/>
  <c r="H26" i="2" s="1"/>
  <c r="G25" i="2"/>
  <c r="G29" i="2" l="1"/>
  <c r="G30" i="2"/>
  <c r="H25" i="2"/>
  <c r="H29" i="2" s="1"/>
  <c r="D25" i="1"/>
  <c r="J25" i="2" l="1"/>
  <c r="K25" i="2" s="1"/>
  <c r="I33" i="1"/>
  <c r="H33" i="1"/>
  <c r="L28" i="2" l="1"/>
  <c r="L25" i="2"/>
  <c r="L29" i="2"/>
  <c r="L27" i="2"/>
  <c r="L26" i="2"/>
  <c r="J25" i="1" l="1"/>
  <c r="I25" i="1"/>
  <c r="H25" i="1"/>
  <c r="P3" i="11" l="1"/>
  <c r="O3" i="11"/>
  <c r="R3" i="11"/>
  <c r="V3" i="11" s="1"/>
  <c r="Q3" i="11"/>
  <c r="U3" i="11" s="1"/>
  <c r="N3" i="11"/>
  <c r="V2" i="11" s="1"/>
  <c r="M3" i="11"/>
  <c r="U2" i="11" s="1"/>
  <c r="J10" i="1" l="1"/>
  <c r="I10" i="1"/>
  <c r="H10" i="1"/>
  <c r="G7" i="1" l="1"/>
  <c r="G25" i="1" l="1"/>
  <c r="G33" i="1"/>
  <c r="F10" i="1"/>
  <c r="J5" i="2"/>
  <c r="E10" i="1" s="1"/>
  <c r="D10" i="1"/>
  <c r="E27" i="1" l="1"/>
  <c r="E33" i="1" s="1"/>
  <c r="K15" i="2"/>
  <c r="K14" i="2" l="1"/>
  <c r="K20" i="2"/>
  <c r="F25" i="1"/>
  <c r="E25" i="1"/>
</calcChain>
</file>

<file path=xl/sharedStrings.xml><?xml version="1.0" encoding="utf-8"?>
<sst xmlns="http://schemas.openxmlformats.org/spreadsheetml/2006/main" count="326" uniqueCount="234">
  <si>
    <t>Ref</t>
  </si>
  <si>
    <t>Energy/technical data</t>
  </si>
  <si>
    <t>Form of energy stored</t>
  </si>
  <si>
    <t>Application</t>
  </si>
  <si>
    <t>Energy storage capacity for one unit (MWh)</t>
  </si>
  <si>
    <t>[1]</t>
  </si>
  <si>
    <t>Output capacity for one unit (MW)</t>
  </si>
  <si>
    <t>Input capacity for one unit (MW)</t>
  </si>
  <si>
    <t>Round trip efficiency (%)</t>
  </si>
  <si>
    <t>[3]</t>
  </si>
  <si>
    <t xml:space="preserve"> - Discharge efficiency (%)</t>
  </si>
  <si>
    <t>Energy losses during storage (%/day)</t>
  </si>
  <si>
    <t>[2], [3], [9]</t>
  </si>
  <si>
    <t>Auxiliary electricity consumption (% of output)</t>
  </si>
  <si>
    <t>Forced outage (%)</t>
  </si>
  <si>
    <t>Planned outage (weeks per year)</t>
  </si>
  <si>
    <t>Technical lifetime (years)</t>
  </si>
  <si>
    <t>[3], [8], [9]</t>
  </si>
  <si>
    <t>Construction time (years)</t>
  </si>
  <si>
    <t>Regulation ability</t>
  </si>
  <si>
    <t>Idle to full discharge (sec)</t>
  </si>
  <si>
    <t>G</t>
  </si>
  <si>
    <t>Full charge to full discharge (sec)</t>
  </si>
  <si>
    <t xml:space="preserve">Financial data                                 </t>
  </si>
  <si>
    <t>Specific investment (MUSD2020 per MWh)</t>
  </si>
  <si>
    <t xml:space="preserve">  -Energy component (MUSD2020/MWh)</t>
  </si>
  <si>
    <t>B</t>
  </si>
  <si>
    <t xml:space="preserve">  -Capacity component (MUSD2020/MW)</t>
  </si>
  <si>
    <t>C</t>
  </si>
  <si>
    <t xml:space="preserve">  -Other project costs (MUSD/MWh)</t>
  </si>
  <si>
    <t>[9]</t>
  </si>
  <si>
    <t>D</t>
  </si>
  <si>
    <t>Variable O&amp;M (USD2020/MWh/year)</t>
  </si>
  <si>
    <t>E</t>
  </si>
  <si>
    <t xml:space="preserve">Technology specific data                                 </t>
  </si>
  <si>
    <t>Specific investment ((MUSD2020/MW)</t>
  </si>
  <si>
    <t>F</t>
  </si>
  <si>
    <t>A</t>
  </si>
  <si>
    <t>IRENA (2017). Electricity storage and renewables: Costs and markets to 2030. Cost of service tool. Available in: https://www.irena.org/publications/2017/Oct/Electricity-storage-and-renewables-costs-and-markets</t>
  </si>
  <si>
    <t>[2]</t>
  </si>
  <si>
    <t>Huang, Y., Keatley, P., Chen, H. S., Zhang, X. J., Rolfe, A., &amp; Hewitt, N. J. (2018). Techno-economic study of compressed air energy storage systems for the grid integration of wind power. International Journal of Energy Research, 42(2), 559–569. https://doi.org/10.1002/er.3840</t>
  </si>
  <si>
    <t>Danish Energy Agency. (2019). Technogy Data for Energy Storage. Copenhagen, Denmark. Retrieved from https://ens.dk/sites/ens.dk/files/Analyser/technology_data_catalogue_for_energy_storage.pdf</t>
  </si>
  <si>
    <t>[4]</t>
  </si>
  <si>
    <t>Kaldemeyer, C., Boysen, C., &amp; Tuschy, I. (2016). Compressed Air Energy Storage in the German Energy System – Status Quo &amp; Perspectives. Energy Procedia, 99, 298–313. https://doi.org/https://doi.org/10.1016/j.egypro.2016.10.120</t>
  </si>
  <si>
    <t>[5]</t>
  </si>
  <si>
    <t xml:space="preserve">Komarnicky, P., Lombardi, P., Styczynski, Z. (2017). Electric Energy Storage systems. Springer-Verlag GmbH Germany </t>
  </si>
  <si>
    <t>[6]</t>
  </si>
  <si>
    <t>Schmidt et al., Projecting the Future Levelized Cost of Electricity Storage TechnologiesJoule 3, 81–100. January 16, 2019 ª 2018 Elsevier Inc.</t>
  </si>
  <si>
    <t>[7]</t>
  </si>
  <si>
    <t>[8]</t>
  </si>
  <si>
    <t>IRENA, Battery storage technology improvements and cost reductions to 2030: A Deep Dive, March 2017, https://www.irena.org/-/media/Files/IRENA/Agency/Events/2017/Mar/15/2017_Kairies_Battery_Cost_and_Performance_01.pd</t>
  </si>
  <si>
    <t>[10]</t>
  </si>
  <si>
    <t>Technical Data</t>
  </si>
  <si>
    <t>Other Project Costs (MUSD/MWh)</t>
  </si>
  <si>
    <t>Fixed O&amp;M (kUSD2020/MW/year)</t>
  </si>
  <si>
    <t>Lifetime (total number of cycles)</t>
  </si>
  <si>
    <t>ABB</t>
  </si>
  <si>
    <t>ESC</t>
  </si>
  <si>
    <t>OCO</t>
  </si>
  <si>
    <t>ICO</t>
  </si>
  <si>
    <t>RTE</t>
  </si>
  <si>
    <t>CE</t>
  </si>
  <si>
    <t>DE</t>
  </si>
  <si>
    <t>ELS</t>
  </si>
  <si>
    <t>FO</t>
  </si>
  <si>
    <t>PO</t>
  </si>
  <si>
    <t>TL</t>
  </si>
  <si>
    <t>CT</t>
  </si>
  <si>
    <t>RTI</t>
  </si>
  <si>
    <t>SI</t>
  </si>
  <si>
    <t>EC</t>
  </si>
  <si>
    <t>CC</t>
  </si>
  <si>
    <t>OPC</t>
  </si>
  <si>
    <t>FOM</t>
  </si>
  <si>
    <t>VOM</t>
  </si>
  <si>
    <t>Año</t>
  </si>
  <si>
    <t>F, G</t>
  </si>
  <si>
    <t>Y'=1/Y</t>
  </si>
  <si>
    <t>XY'</t>
  </si>
  <si>
    <t>X2</t>
  </si>
  <si>
    <t>Suma</t>
  </si>
  <si>
    <t>n</t>
  </si>
  <si>
    <t>Prom</t>
  </si>
  <si>
    <t>y=1/(A+Bx)</t>
  </si>
  <si>
    <t>y</t>
  </si>
  <si>
    <t>x</t>
  </si>
  <si>
    <t>[1] [3]</t>
  </si>
  <si>
    <t>[11]</t>
  </si>
  <si>
    <r>
      <t xml:space="preserve">Gustavsson, J. (2016). </t>
    </r>
    <r>
      <rPr>
        <i/>
        <sz val="10"/>
        <color theme="1"/>
        <rFont val="Montserrat Medium"/>
        <family val="3"/>
      </rPr>
      <t>Energy Storage Technology Comparison</t>
    </r>
    <r>
      <rPr>
        <sz val="10"/>
        <color theme="1"/>
        <rFont val="Montserrat Medium"/>
        <family val="3"/>
      </rPr>
      <t>. KTH Industrial Engineering and Management. Retrieved from http://www.diva-portal.org/smash/get/diva2:953046/FULLTEXT01.pdf</t>
    </r>
  </si>
  <si>
    <r>
      <t xml:space="preserve">Diaz-Gonzalez, F., Sumper, A., &amp; Gomis-Bellmunt, O. (2016). Energy Storage Technologies. In </t>
    </r>
    <r>
      <rPr>
        <i/>
        <sz val="10"/>
        <color theme="1"/>
        <rFont val="Montserrat Medium"/>
        <family val="3"/>
      </rPr>
      <t>Energy Storage in Power Systems</t>
    </r>
    <r>
      <rPr>
        <sz val="10"/>
        <color theme="1"/>
        <rFont val="Montserrat Medium"/>
        <family val="3"/>
      </rPr>
      <t xml:space="preserve"> (pp. 93–141). John Wiley &amp; Sons, Ltd. https://doi.org/10.1002/9781118971291.ch4</t>
    </r>
  </si>
  <si>
    <r>
      <t xml:space="preserve">EASE/EERA. (2013). </t>
    </r>
    <r>
      <rPr>
        <i/>
        <sz val="10"/>
        <color theme="1"/>
        <rFont val="Montserrat Medium"/>
        <family val="3"/>
      </rPr>
      <t>European Energy Storage Technology Development Roadmap Toward 2030</t>
    </r>
    <r>
      <rPr>
        <sz val="10"/>
        <color theme="1"/>
        <rFont val="Montserrat Medium"/>
        <family val="3"/>
      </rPr>
      <t>. Retrieved from https://www.eera-set.eu/wp-content/uploads/148885-EASE-recommendations-Roadmap-04.pdf</t>
    </r>
  </si>
  <si>
    <r>
      <t xml:space="preserve">Zakeri, B., &amp; Syri, S. (2015). Electrical energy storage systems: A comparative life cycle cost analysis. </t>
    </r>
    <r>
      <rPr>
        <i/>
        <sz val="10"/>
        <color theme="1"/>
        <rFont val="Montserrat Medium"/>
        <family val="3"/>
      </rPr>
      <t>Renewable and Sustainable Energy Reviews</t>
    </r>
    <r>
      <rPr>
        <sz val="10"/>
        <color theme="1"/>
        <rFont val="Montserrat Medium"/>
        <family val="3"/>
      </rPr>
      <t xml:space="preserve">, </t>
    </r>
    <r>
      <rPr>
        <i/>
        <sz val="10"/>
        <color theme="1"/>
        <rFont val="Montserrat Medium"/>
        <family val="3"/>
      </rPr>
      <t>42</t>
    </r>
    <r>
      <rPr>
        <sz val="10"/>
        <color theme="1"/>
        <rFont val="Montserrat Medium"/>
        <family val="3"/>
      </rPr>
      <t>, 569–596. https://doi.org/10.1016/j.rser.2014.10.011</t>
    </r>
  </si>
  <si>
    <r>
      <t xml:space="preserve">Energy Storage Capacity for One Unit </t>
    </r>
    <r>
      <rPr>
        <sz val="8"/>
        <color theme="1"/>
        <rFont val="Montserrat Medium"/>
        <family val="3"/>
      </rPr>
      <t>(MWh)</t>
    </r>
  </si>
  <si>
    <r>
      <t xml:space="preserve">Output Capacity for One Unit </t>
    </r>
    <r>
      <rPr>
        <sz val="8"/>
        <color theme="1"/>
        <rFont val="Montserrat Medium"/>
        <family val="3"/>
      </rPr>
      <t>(MW)</t>
    </r>
  </si>
  <si>
    <r>
      <t>Input Capacity for One Unit</t>
    </r>
    <r>
      <rPr>
        <sz val="8"/>
        <color theme="1"/>
        <rFont val="Montserrat Medium"/>
        <family val="3"/>
      </rPr>
      <t xml:space="preserve"> (MW)</t>
    </r>
  </si>
  <si>
    <r>
      <t xml:space="preserve">Round Trip Efficiency </t>
    </r>
    <r>
      <rPr>
        <sz val="8"/>
        <color theme="1"/>
        <rFont val="Montserrat Medium"/>
        <family val="3"/>
      </rPr>
      <t>(%)</t>
    </r>
  </si>
  <si>
    <r>
      <t xml:space="preserve">Charge Efficiency </t>
    </r>
    <r>
      <rPr>
        <sz val="8"/>
        <color theme="1"/>
        <rFont val="Montserrat Medium"/>
        <family val="3"/>
      </rPr>
      <t>(%)</t>
    </r>
  </si>
  <si>
    <r>
      <t xml:space="preserve">Discharge Efficiency </t>
    </r>
    <r>
      <rPr>
        <sz val="8"/>
        <color theme="1"/>
        <rFont val="Montserrat Medium"/>
        <family val="3"/>
      </rPr>
      <t>(%)</t>
    </r>
  </si>
  <si>
    <r>
      <t xml:space="preserve">Energy Losses during Storage </t>
    </r>
    <r>
      <rPr>
        <sz val="8"/>
        <color theme="1"/>
        <rFont val="Montserrat Medium"/>
        <family val="3"/>
      </rPr>
      <t>(%/day)</t>
    </r>
  </si>
  <si>
    <r>
      <t xml:space="preserve">Forced Outage </t>
    </r>
    <r>
      <rPr>
        <sz val="8"/>
        <color theme="1"/>
        <rFont val="Montserrat Medium"/>
        <family val="3"/>
      </rPr>
      <t>(%)</t>
    </r>
  </si>
  <si>
    <r>
      <t xml:space="preserve">Planned Outage </t>
    </r>
    <r>
      <rPr>
        <sz val="8"/>
        <color theme="1"/>
        <rFont val="Montserrat Medium"/>
        <family val="3"/>
      </rPr>
      <t>(weeks per year)</t>
    </r>
  </si>
  <si>
    <r>
      <t xml:space="preserve">Technical Lifetime </t>
    </r>
    <r>
      <rPr>
        <sz val="8"/>
        <color theme="1"/>
        <rFont val="Montserrat Medium"/>
        <family val="3"/>
      </rPr>
      <t>(years)</t>
    </r>
  </si>
  <si>
    <r>
      <t xml:space="preserve">Construction Time </t>
    </r>
    <r>
      <rPr>
        <sz val="8"/>
        <color theme="1"/>
        <rFont val="Montserrat Medium"/>
        <family val="3"/>
      </rPr>
      <t>(years)</t>
    </r>
  </si>
  <si>
    <r>
      <t xml:space="preserve">Response Time from Idle to Full-Rated Discharge </t>
    </r>
    <r>
      <rPr>
        <sz val="8"/>
        <color theme="1"/>
        <rFont val="Montserrat Medium"/>
        <family val="3"/>
      </rPr>
      <t>(sec)</t>
    </r>
  </si>
  <si>
    <r>
      <t xml:space="preserve">Specific Investment </t>
    </r>
    <r>
      <rPr>
        <sz val="8"/>
        <color theme="1"/>
        <rFont val="Montserrat Medium"/>
        <family val="3"/>
      </rPr>
      <t>(MUSD2015 per MWh)</t>
    </r>
  </si>
  <si>
    <r>
      <t xml:space="preserve">Energy Component </t>
    </r>
    <r>
      <rPr>
        <sz val="8"/>
        <color theme="1"/>
        <rFont val="Montserrat Medium"/>
        <family val="3"/>
      </rPr>
      <t>(MUSD2015 per MWh)</t>
    </r>
  </si>
  <si>
    <r>
      <t xml:space="preserve">Capacity Component </t>
    </r>
    <r>
      <rPr>
        <sz val="8"/>
        <color theme="1"/>
        <rFont val="Montserrat Medium"/>
        <family val="3"/>
      </rPr>
      <t>(MUSD per MW)</t>
    </r>
  </si>
  <si>
    <r>
      <t xml:space="preserve">Fixed O&amp;M </t>
    </r>
    <r>
      <rPr>
        <sz val="8"/>
        <color theme="1"/>
        <rFont val="Montserrat Medium"/>
        <family val="3"/>
      </rPr>
      <t>(MUSD2020/MW/year)</t>
    </r>
  </si>
  <si>
    <r>
      <t xml:space="preserve">Variable O&amp;M </t>
    </r>
    <r>
      <rPr>
        <sz val="8"/>
        <color theme="1"/>
        <rFont val="Montserrat Medium"/>
        <family val="3"/>
      </rPr>
      <t>(MUSD2020/MWh/year)</t>
    </r>
  </si>
  <si>
    <r>
      <t xml:space="preserve">Specific Investment </t>
    </r>
    <r>
      <rPr>
        <sz val="10"/>
        <color theme="1"/>
        <rFont val="Montserrat Medium"/>
        <family val="3"/>
      </rPr>
      <t>(MUSD2020 per MW)</t>
    </r>
  </si>
  <si>
    <r>
      <t xml:space="preserve">Energy storage capacity for one unit </t>
    </r>
    <r>
      <rPr>
        <sz val="8"/>
        <color theme="1"/>
        <rFont val="Montserrat Medium"/>
        <family val="3"/>
      </rPr>
      <t>(MWh)</t>
    </r>
  </si>
  <si>
    <r>
      <t xml:space="preserve">Output capacity for one unit </t>
    </r>
    <r>
      <rPr>
        <sz val="8"/>
        <color theme="1"/>
        <rFont val="Montserrat Medium"/>
        <family val="3"/>
      </rPr>
      <t>(MW)</t>
    </r>
  </si>
  <si>
    <r>
      <t xml:space="preserve">Input capacity for one unit </t>
    </r>
    <r>
      <rPr>
        <sz val="8"/>
        <color theme="1"/>
        <rFont val="Montserrat Medium"/>
        <family val="3"/>
      </rPr>
      <t>(MW)</t>
    </r>
  </si>
  <si>
    <r>
      <t xml:space="preserve">Round trip efficiency </t>
    </r>
    <r>
      <rPr>
        <sz val="8"/>
        <color theme="1"/>
        <rFont val="Montserrat Medium"/>
        <family val="3"/>
      </rPr>
      <t>(%)</t>
    </r>
  </si>
  <si>
    <r>
      <t xml:space="preserve"> - Discharge efficiency </t>
    </r>
    <r>
      <rPr>
        <sz val="8"/>
        <color theme="1"/>
        <rFont val="Montserrat Medium"/>
        <family val="3"/>
      </rPr>
      <t>(%)</t>
    </r>
  </si>
  <si>
    <r>
      <t xml:space="preserve">Energy losses during storage </t>
    </r>
    <r>
      <rPr>
        <sz val="8"/>
        <color theme="1"/>
        <rFont val="Montserrat Medium"/>
        <family val="3"/>
      </rPr>
      <t>(%/day)</t>
    </r>
  </si>
  <si>
    <r>
      <t xml:space="preserve">Forced outage </t>
    </r>
    <r>
      <rPr>
        <sz val="8"/>
        <color theme="1"/>
        <rFont val="Montserrat Medium"/>
        <family val="3"/>
      </rPr>
      <t>(%)</t>
    </r>
  </si>
  <si>
    <r>
      <t xml:space="preserve">Planned outage </t>
    </r>
    <r>
      <rPr>
        <sz val="8"/>
        <color theme="1"/>
        <rFont val="Montserrat Medium"/>
        <family val="3"/>
      </rPr>
      <t>(weeks per year)</t>
    </r>
  </si>
  <si>
    <r>
      <t xml:space="preserve">Technical lifetime </t>
    </r>
    <r>
      <rPr>
        <sz val="8"/>
        <color theme="1"/>
        <rFont val="Montserrat Medium"/>
        <family val="3"/>
      </rPr>
      <t>(years)</t>
    </r>
  </si>
  <si>
    <r>
      <t xml:space="preserve">Construction time </t>
    </r>
    <r>
      <rPr>
        <sz val="8"/>
        <color theme="1"/>
        <rFont val="Montserrat Medium"/>
        <family val="3"/>
      </rPr>
      <t>(years)</t>
    </r>
  </si>
  <si>
    <r>
      <t xml:space="preserve">Specific investment </t>
    </r>
    <r>
      <rPr>
        <sz val="8"/>
        <color theme="1"/>
        <rFont val="Montserrat Medium"/>
        <family val="3"/>
      </rPr>
      <t>(MUSD2020 per MWh)</t>
    </r>
  </si>
  <si>
    <r>
      <t xml:space="preserve">  -Energy component </t>
    </r>
    <r>
      <rPr>
        <sz val="8"/>
        <color theme="1"/>
        <rFont val="Montserrat Medium"/>
        <family val="3"/>
      </rPr>
      <t>(MUSD2020/MWh)</t>
    </r>
  </si>
  <si>
    <r>
      <t xml:space="preserve">  -Capacity component </t>
    </r>
    <r>
      <rPr>
        <sz val="8"/>
        <color theme="1"/>
        <rFont val="Montserrat Medium"/>
        <family val="3"/>
      </rPr>
      <t>(MUSD2020/MW)</t>
    </r>
  </si>
  <si>
    <r>
      <t xml:space="preserve">  -Other project costs </t>
    </r>
    <r>
      <rPr>
        <sz val="8"/>
        <color theme="1"/>
        <rFont val="Montserrat Medium"/>
        <family val="3"/>
      </rPr>
      <t>(MUSD/MWh)</t>
    </r>
  </si>
  <si>
    <r>
      <t xml:space="preserve">Variable O&amp;M </t>
    </r>
    <r>
      <rPr>
        <sz val="8"/>
        <color theme="1"/>
        <rFont val="Montserrat Medium"/>
        <family val="3"/>
      </rPr>
      <t>(USD2020/MWh/year)</t>
    </r>
  </si>
  <si>
    <r>
      <t xml:space="preserve">Specific investment </t>
    </r>
    <r>
      <rPr>
        <sz val="8"/>
        <color theme="1"/>
        <rFont val="Montserrat Medium"/>
        <family val="3"/>
      </rPr>
      <t>(MUSD2020 per MW)</t>
    </r>
  </si>
  <si>
    <r>
      <t xml:space="preserve"> - </t>
    </r>
    <r>
      <rPr>
        <b/>
        <i/>
        <sz val="8"/>
        <color theme="1"/>
        <rFont val="Montserrat Medium"/>
        <family val="3"/>
      </rPr>
      <t>Charge efficiency (%)</t>
    </r>
  </si>
  <si>
    <r>
      <t xml:space="preserve"> - </t>
    </r>
    <r>
      <rPr>
        <i/>
        <sz val="9"/>
        <color theme="1"/>
        <rFont val="Montserrat Medium"/>
        <family val="3"/>
      </rPr>
      <t>Charge efficiency (%)</t>
    </r>
  </si>
  <si>
    <t>Tecnología</t>
  </si>
  <si>
    <t>Datos de energía/tecnicos</t>
  </si>
  <si>
    <t>Forma de energía almacenada</t>
  </si>
  <si>
    <t xml:space="preserve">Aplicación </t>
  </si>
  <si>
    <t>Capacidad de almacenamiento por unidad (MWh)</t>
  </si>
  <si>
    <t>Capacidad de inyección/descarga por unidad (MW)</t>
  </si>
  <si>
    <t>Capacidad de entrada por unidad (MW)</t>
  </si>
  <si>
    <t>Eficiencia de carga (%)</t>
  </si>
  <si>
    <t>Eficiencia de descarga (%)</t>
  </si>
  <si>
    <t>Perdida de energía durante el almacenamiento (%/día)</t>
  </si>
  <si>
    <t>Interrupción forzada (%)</t>
  </si>
  <si>
    <t>Interrupción planificada (Semanas por año)</t>
  </si>
  <si>
    <t>Tiempo de vida técnico (años)</t>
  </si>
  <si>
    <t>Tiempo de construcción (años)</t>
  </si>
  <si>
    <t>Habilidad de regulación</t>
  </si>
  <si>
    <t>Datos Financieros</t>
  </si>
  <si>
    <t>Costos Fijos de Operación y Mantenimiento (kUSD2020/MW/año)</t>
  </si>
  <si>
    <t>Datos especifico por tecnologia</t>
  </si>
  <si>
    <t>Inversión específica (MUSD2020 / MW)</t>
  </si>
  <si>
    <t>Tecnology</t>
  </si>
  <si>
    <t>Almacenamiento de energía de aire comprimido</t>
  </si>
  <si>
    <t>Incertidumbre (2020)</t>
  </si>
  <si>
    <t>Incertidumbre (2030)</t>
  </si>
  <si>
    <t>Baja</t>
  </si>
  <si>
    <t>Alta</t>
  </si>
  <si>
    <t>Nota</t>
  </si>
  <si>
    <t>Mecánica y química</t>
  </si>
  <si>
    <t>Cambio de energía</t>
  </si>
  <si>
    <t xml:space="preserve">Eficiencia de ciclo (%) </t>
  </si>
  <si>
    <t>Consumo de electricidad auxiliar (% de la producción)</t>
  </si>
  <si>
    <t>Vida útil (número total de ciclos)</t>
  </si>
  <si>
    <t>Carga completa a descarga completa (seg)</t>
  </si>
  <si>
    <t>Inactivo a descarga completa (seg)</t>
  </si>
  <si>
    <t>Costos Variables de Operación y Mantenimiento (USD2020/MWh/año)</t>
  </si>
  <si>
    <t>Inversión especifica (MUSD2020 / MWh)</t>
  </si>
  <si>
    <t>Promedio</t>
  </si>
  <si>
    <t>Notas</t>
  </si>
  <si>
    <t>Referencias</t>
  </si>
  <si>
    <t>Estos datos se interpretan dentro de la herramienta IRENA como: "Inversión total por almacenamiento de kWh utilizable", y son verificables como resultado de: Almacenamiento de energía + Conversión de energía / Capacidad de almacenamiento utilizable.</t>
  </si>
  <si>
    <t>Estos datos se interpretan dentro de la herramienta IRENA como: "Coste de instalación de energía".</t>
  </si>
  <si>
    <t>Estos datos se interpretan dentro de la herramienta IRENA como resultado de: Mantenimiento / Conversión instalada Potencia</t>
  </si>
  <si>
    <t>Estos datos se interpretan dentro de la herramienta IRENA como: "Coste de instalación de potencia".</t>
  </si>
  <si>
    <t>El costo variable de operación y mantenimiento puede variar según el precio del gas en el caso de una planta CAES respaldada por una turbina de gas.</t>
  </si>
  <si>
    <t>Si una planta CAES se opera como reserva de hilatura en caliente, puede alcanzar la capacidad máxima en pocos minutos. Los tiempos de arranque de emergencia por condiciones de frío en las plantas de Huntorf y McIntosh son de aproximadamente 5 minutos. Sus tiempos de inicio normales son de 10 a 12 minutos [3]</t>
  </si>
  <si>
    <t>Es probable que la velocidad de rampa obtenible disminuya después de la aplicación de almacenamiento de energía térmica. Esto se debe a que el calor debe entregarse al material de almacenamiento, que es un proceso que no se puede controlar de forma independiente.</t>
  </si>
  <si>
    <t>Datos tecnicos</t>
  </si>
  <si>
    <t>Eficiencia de ciclo (%)</t>
  </si>
  <si>
    <t>Perdida de Energía durante el almacenamiento (%/día)</t>
  </si>
  <si>
    <t>Interrupción planificada (semanas por año)</t>
  </si>
  <si>
    <t>Tiempo de respuesta del estado inactivo a la descarga completa (seg)</t>
  </si>
  <si>
    <t>Inversión especifica (MUSD2015 / MWh)</t>
  </si>
  <si>
    <t>Componente de energía de la inversión especifica (MUSD2015/MWh)</t>
  </si>
  <si>
    <t>Componente de capacidad de la inversión especifica (MUSD/MW)</t>
  </si>
  <si>
    <t>Costos Fijos de Operación y Mantenimiento (MUSD2020/MW/año)</t>
  </si>
  <si>
    <t>Costos Variables de Operación y Mantenimiento (MUSD2020/MW/año)</t>
  </si>
  <si>
    <t>Inversión específica (MUSD2020 por MW)</t>
  </si>
  <si>
    <t>Otros costos del proyecto (MUSD / MWh)</t>
  </si>
  <si>
    <t>Procedimiento seguido para determinar la proyección</t>
  </si>
  <si>
    <t>1. La tendencia de los datos para estos parámetros (en este caso constante) se identificó en la referencia [1] para CAES.
2. Estos datos se interpretan dentro de la herramienta IRENA como "Capacidad de almacenamiento utilizable" y "Almacenamiento instalado".
3. Se considera que estos parámetros no tendrán variación en el período 2020-2050 debido a su madurez tecnológica.</t>
  </si>
  <si>
    <t>1. La tendencia de los datos para estos parámetros (en este caso constante) se identificó en la referencia [3] para CAES.
2. Se considera que estos parámetros no tendrán variación en el período 2020-2050 debido a su madurez tecnológica.</t>
  </si>
  <si>
    <t>1. La tendencia de los datos para estos parámetros (en este caso disminución exponencial) se identificó en la referencia [1] para CAES. 2. Estos datos se interpretan dentro de la herramienta IRENA como "Coste de instalación de energía".
3. Los datos de los años 2016, 2020, 2025 y 2030 se obtuvieron de [1].
4. Vea la proyección exponencial llamada 15_EC</t>
  </si>
  <si>
    <t>1. La tendencia de los datos para estos parámetros (en este caso disminución exponencial) se identificó en la referencia [1] para CAES.
2. Estos datos se interpretan dentro de la herramienta IRENA como "Coste de instalación de energía".
3. Los datos de los años 2016, 2020, 2025 y 2030 se obtuvieron de [1].
4. Vea la proyección exponencial llamada 16_CC. 5. La proyección hiperbólica fue para 2050 por curva de aprendizaje.</t>
  </si>
  <si>
    <t>Regresión hiperbólica del componente de capacidad</t>
  </si>
  <si>
    <t>Componente de capacidad (MUSD2015 por MW)</t>
  </si>
  <si>
    <t>Aproximación del componente de capacidad (MUSD / MW)</t>
  </si>
  <si>
    <t>Explicación: El enfoque de la curva de aprendizaje no depende simplemente del paso de los años, sino del desarrollo tecnológico. Aquí se supone que el crecimiento de la capacidad potencial es lineal en el tiempo, es decir, en comparación con la cantidad de años que pasan. Esto es solo una simplificación, ya que la tecnología generalmente madura dependiendo de su construcción e implementación reales. Pero dado que los componentes que componen CAES son propensos al desarrollo tecnológico individual, aún puede utilizar este enfoque como regresión simplificada. Generalmente, se aplica un factor de tasa de aprendizaje del 10% para tecnologías no emergentes. Aquí, un factor inferior a éste, es decir, 7,6%, conduce a un buen ajuste aceptable, que puede explicarse por la fuerte madurez de los componentes de capacidad (compresor y generador, etc.) utilizados por CAES.</t>
  </si>
  <si>
    <t xml:space="preserve">Años Delta </t>
  </si>
  <si>
    <t>comienzo</t>
  </si>
  <si>
    <t>Est. Curva de aprendizaje</t>
  </si>
  <si>
    <t>Capacidad de carga por unidad (MW)</t>
  </si>
  <si>
    <t>Pérdidas de energía durante el almacenamiento (% / día)</t>
  </si>
  <si>
    <t>Vida técnica (años)</t>
  </si>
  <si>
    <t>Inversión específica (MUSD2020 / MWh)</t>
  </si>
  <si>
    <t>Costos Variables de Operación y Mantenimiento (USD2020/MWh)</t>
  </si>
  <si>
    <t>Tiempo de respuesta desde la descarga inactiva hasta la descarga máxima (seg)</t>
  </si>
  <si>
    <t>2020 (Incertidumbre)</t>
  </si>
  <si>
    <t>2050 (Incertidumbre)</t>
  </si>
  <si>
    <t>Referencia</t>
  </si>
  <si>
    <t>Tasa de cambio 2020</t>
  </si>
  <si>
    <t>Baja (%)</t>
  </si>
  <si>
    <t>Alta (%)</t>
  </si>
  <si>
    <t>1. La incertidumbre se calcula con el comportamiento numérico similar de [3]. 2. La tasa de cambio para 2030 se estima mediante regresión lineal entre la tasa de cambio 2020 y 2050.</t>
  </si>
  <si>
    <t>NOTA</t>
  </si>
  <si>
    <t>Componente de capacidad de la inversión especifica (MUSD2020/MW)</t>
  </si>
  <si>
    <t>Componente de energía de la inversión especifica (MUSD2020/MWh)</t>
  </si>
  <si>
    <t>1. La incertidumbre para estos parámetros tiene el mismo comportamiento que [1] porque el diseño se basa en las mismas capacidades operativas del sistema de almacenamiento de energía.
2. Estos datos se interpretan dentro de la herramienta IRENA como "Capacidad de almacenamiento utilizable" y "Potencia de almacenamiento instalada".
3. La incertidumbre es de porcentaje cero porque el CAES es una tecnología de madurez.</t>
  </si>
  <si>
    <t>1. La incertidumbre para estos parámetros tiene el mismo comportamiento que [3] para mantener la coherencia entre los datos.</t>
  </si>
  <si>
    <t>1. La incertidumbre para este parámetro tiene el mismo comportamiento que [1] porque el diseño se basa en las mismas capacidades operativas del sistema de almacenamiento de energía.
2. Estos datos se interpretan dentro de la herramienta IRENA como "Autodescarga".</t>
  </si>
  <si>
    <t>1. La incertidumbre para estos parámetros tiene el mismo comportamiento que [1] porque el diseño se basa en las mismas capacidades operativas del sistema de almacenamiento de energía.
2. Estos datos se interpretan dentro de la herramienta IRENA como "Costo de instalación de energía" y "Costo de instalación de energía".</t>
  </si>
  <si>
    <t>1. La incertidumbre para este parámetro tiene el mismo comportamiento que [9] porque el diseño se basa en las mismas capacidades operativas del sistema de almacenamiento de energía.
2. La incertidumbre es de porcentaje cero porque el CAES es una tecnología de madurez.</t>
  </si>
  <si>
    <t>Tasa de cambio 2050</t>
  </si>
  <si>
    <t>Tasa de cambio 2030</t>
  </si>
  <si>
    <t xml:space="preserve"> - Componente de energía (MUSD2020/MWh)</t>
  </si>
  <si>
    <t xml:space="preserve"> - Componente de capacidad (MUSD2020/MWh) </t>
  </si>
  <si>
    <t>1. Los datos obtenidos para el año 2020 se obtuvieron de [3], la tendencia es similar a la referencia [3] (en este caso constante). 
2. Se considera que este parámetro no tendrá variación en el período 2020-2050 debido a su madurez tecnológica.</t>
  </si>
  <si>
    <t>1. Los datos obtenidos para el año 2020 se obtuvieron de [9], la tendencia es similar a la referencia [3] (en este caso constante). 
2. Se considera que este parámetro no tendrá variación en el período 2020-2050 debido a su madurez tecnológica.</t>
  </si>
  <si>
    <t>1. Este dato fue calculado con una ecuación de Inversión Específica (ver hoja CAES). 
2.</t>
  </si>
  <si>
    <t>1. La tendencia de los datos es similar a la referencia [3].
2. Los datos de los años 2015, 2020, 2030 y 2050 se obtuvieron de [3].</t>
  </si>
  <si>
    <t>1. La tendencia de los datos es similar a la referencia [3]. 
2. Los datos de los años 2015, 2020, 2030 y 2050 se obtuvieron de [3].</t>
  </si>
  <si>
    <t>1. La tendencia de los datos es similar a la referencia [3]. 
2. Los datos de los años 2015, 2020, 2030 y 2050 se obtuvieron de [3]</t>
  </si>
  <si>
    <t>1. La tendencia de los datos para estos parámetros (en este caso el crecimiento exponencial) se identificó en la referencia [3] para CAES.
2. Estos datos técnicos se calcularon con una ecuación para la eficiencia de ida y vuelta. 
3. En el capítulo de Introducción del Catálogo, se define la ecuación de Eficiencia de Ida y Vuelta.</t>
  </si>
  <si>
    <t>1. La incertidumbre se calculó con una ecuación para la eficiencia de ida y vuelta. 
2. En el capítulo de Introducción del Catálogo, se define la ecuación de Eficiencia de Ida y Vuelta.</t>
  </si>
  <si>
    <r>
      <t xml:space="preserve">1. La incertidumbre para estos parámetros tiene el mismo comportamiento que [11] porque el diseño se basa en las mismas capacidades operativas del sistema de almacenamiento de energía, </t>
    </r>
    <r>
      <rPr>
        <b/>
        <sz val="9"/>
        <color theme="1"/>
        <rFont val="Montserrat Medium"/>
      </rPr>
      <t>ver Tabla A2</t>
    </r>
    <r>
      <rPr>
        <sz val="9"/>
        <color theme="1"/>
        <rFont val="Montserrat Medium"/>
      </rPr>
      <t xml:space="preserve"> de esta referencia.</t>
    </r>
  </si>
  <si>
    <r>
      <t xml:space="preserve">1. La incertidumbre se calculó con una ecuación </t>
    </r>
    <r>
      <rPr>
        <b/>
        <sz val="9"/>
        <color theme="1"/>
        <rFont val="Montserrat Medium"/>
      </rPr>
      <t>(ver hoja CAES)</t>
    </r>
    <r>
      <rPr>
        <sz val="9"/>
        <color theme="1"/>
        <rFont val="Montserrat Medium"/>
      </rPr>
      <t>. 
2. Estos datos técnicos se calcularon con una ecuación de Inversión Específica.
3. En el capítulo de Introducción del Catálogo, se define la ecuación de Inversión Específica.</t>
    </r>
  </si>
  <si>
    <r>
      <t xml:space="preserve">1. Estos datos técnicos se calcularon con una ecuación, </t>
    </r>
    <r>
      <rPr>
        <b/>
        <sz val="9"/>
        <color theme="1"/>
        <rFont val="Montserrat Medium"/>
      </rPr>
      <t>ver hoja CAES.</t>
    </r>
    <r>
      <rPr>
        <sz val="9"/>
        <color theme="1"/>
        <rFont val="Montserrat Medium"/>
      </rPr>
      <t xml:space="preserve">
2. Estos datos técnicos se calcularon con una ecuación de Inversión Específica. 
3. En el capítulo de Introducción del Catálogo, se define la ecuación de Inversión Específica.</t>
    </r>
  </si>
  <si>
    <t>Otros costos del proyecto (MUSD/MWh)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</si>
</sst>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0.0"/>
    <numFmt numFmtId="166" formatCode="_ * #,##0.00_ ;_ * \-#,##0.00_ ;_ * &quot;-&quot;??_ ;_ @_ "/>
    <numFmt numFmtId="167" formatCode="0.0000"/>
    <numFmt numFmtId="168" formatCode="0.000000"/>
  </numFmts>
  <fonts count="42" x14ac:knownFonts="1">
    <font>
      <sz val="11"/>
      <color theme="1"/>
      <name val="Calibri"/>
      <family val="2"/>
      <scheme val="minor"/>
    </font>
    <font>
      <sz val="11"/>
      <color theme="1"/>
      <name val="Calibri"/>
      <family val="2"/>
      <scheme val="minor"/>
    </font>
    <font>
      <sz val="9"/>
      <name val="Arial"/>
      <family val="2"/>
    </font>
    <font>
      <b/>
      <sz val="7"/>
      <color theme="1"/>
      <name val="Arial"/>
      <family val="2"/>
    </font>
    <font>
      <sz val="12"/>
      <color theme="1"/>
      <name val="Calibri"/>
      <family val="2"/>
      <scheme val="minor"/>
    </font>
    <font>
      <sz val="7"/>
      <color theme="1"/>
      <name val="Arial"/>
      <family val="2"/>
    </font>
    <font>
      <u/>
      <sz val="10"/>
      <color indexed="12"/>
      <name val="Arial"/>
      <family val="2"/>
    </font>
    <font>
      <b/>
      <sz val="11"/>
      <color rgb="FFFF0000"/>
      <name val="Calibri"/>
      <family val="2"/>
      <scheme val="minor"/>
    </font>
    <font>
      <sz val="10"/>
      <name val="Helv"/>
    </font>
    <font>
      <u/>
      <sz val="11"/>
      <color theme="10"/>
      <name val="Calibri"/>
      <family val="2"/>
      <scheme val="minor"/>
    </font>
    <font>
      <sz val="11"/>
      <color indexed="62"/>
      <name val="Calibri"/>
      <family val="2"/>
    </font>
    <font>
      <sz val="11"/>
      <color indexed="60"/>
      <name val="Calibri"/>
      <family val="2"/>
    </font>
    <font>
      <sz val="10"/>
      <name val="Arial"/>
      <family val="2"/>
    </font>
    <font>
      <b/>
      <sz val="11"/>
      <color indexed="63"/>
      <name val="Calibri"/>
      <family val="2"/>
    </font>
    <font>
      <b/>
      <sz val="11"/>
      <color indexed="8"/>
      <name val="Calibri"/>
      <family val="2"/>
    </font>
    <font>
      <b/>
      <sz val="11"/>
      <color theme="1"/>
      <name val="Calibri"/>
      <family val="2"/>
      <scheme val="minor"/>
    </font>
    <font>
      <b/>
      <sz val="8"/>
      <color theme="1"/>
      <name val="Montserrat Medium"/>
      <family val="3"/>
    </font>
    <font>
      <sz val="8"/>
      <color theme="1"/>
      <name val="Montserrat Medium"/>
      <family val="3"/>
    </font>
    <font>
      <b/>
      <sz val="13"/>
      <name val="Montserrat Medium"/>
      <family val="3"/>
    </font>
    <font>
      <b/>
      <sz val="7"/>
      <color theme="1"/>
      <name val="Montserrat Medium"/>
      <family val="3"/>
    </font>
    <font>
      <sz val="11"/>
      <color theme="1"/>
      <name val="Montserrat Medium"/>
      <family val="3"/>
    </font>
    <font>
      <sz val="12"/>
      <color theme="1"/>
      <name val="Montserrat Medium"/>
      <family val="3"/>
    </font>
    <font>
      <sz val="10"/>
      <name val="Montserrat Medium"/>
      <family val="3"/>
    </font>
    <font>
      <sz val="10"/>
      <color theme="1"/>
      <name val="Montserrat Medium"/>
      <family val="3"/>
    </font>
    <font>
      <b/>
      <sz val="10"/>
      <color theme="1"/>
      <name val="Montserrat Medium"/>
      <family val="3"/>
    </font>
    <font>
      <i/>
      <sz val="10"/>
      <color theme="1"/>
      <name val="Montserrat Medium"/>
      <family val="3"/>
    </font>
    <font>
      <sz val="10"/>
      <color rgb="FF000000"/>
      <name val="Montserrat Medium"/>
      <family val="3"/>
    </font>
    <font>
      <b/>
      <sz val="11"/>
      <color theme="1"/>
      <name val="Montserrat Medium"/>
      <family val="3"/>
    </font>
    <font>
      <sz val="9"/>
      <color theme="1"/>
      <name val="Montserrat Medium"/>
      <family val="3"/>
    </font>
    <font>
      <b/>
      <i/>
      <sz val="8"/>
      <color theme="1"/>
      <name val="Montserrat Medium"/>
      <family val="3"/>
    </font>
    <font>
      <b/>
      <sz val="9"/>
      <color theme="1"/>
      <name val="Montserrat Medium"/>
      <family val="3"/>
    </font>
    <font>
      <i/>
      <sz val="9"/>
      <color theme="1"/>
      <name val="Montserrat Medium"/>
      <family val="3"/>
    </font>
    <font>
      <strike/>
      <sz val="9"/>
      <color theme="1"/>
      <name val="Montserrat Medium"/>
      <family val="3"/>
    </font>
    <font>
      <sz val="10"/>
      <color theme="1"/>
      <name val="Montserrat Medium"/>
    </font>
    <font>
      <i/>
      <sz val="10"/>
      <color theme="1"/>
      <name val="Montserrat Medium"/>
    </font>
    <font>
      <b/>
      <sz val="10"/>
      <color theme="1"/>
      <name val="Montserrat Medium"/>
    </font>
    <font>
      <sz val="10"/>
      <color theme="1"/>
      <name val="Montserrat Light"/>
    </font>
    <font>
      <b/>
      <sz val="10"/>
      <color theme="1"/>
      <name val="Montserrat Light"/>
    </font>
    <font>
      <b/>
      <sz val="11"/>
      <color theme="1"/>
      <name val="Montserrat Medium"/>
    </font>
    <font>
      <sz val="9"/>
      <color theme="1"/>
      <name val="Montserrat Medium"/>
    </font>
    <font>
      <b/>
      <sz val="9"/>
      <color theme="1"/>
      <name val="Montserrat Medium"/>
    </font>
    <font>
      <sz val="11"/>
      <color theme="1"/>
      <name val="Montserrat Medium"/>
    </font>
  </fonts>
  <fills count="5">
    <fill>
      <patternFill patternType="none"/>
    </fill>
    <fill>
      <patternFill patternType="gray125"/>
    </fill>
    <fill>
      <patternFill patternType="solid">
        <fgColor indexed="47"/>
      </patternFill>
    </fill>
    <fill>
      <patternFill patternType="solid">
        <fgColor indexed="43"/>
      </patternFill>
    </fill>
    <fill>
      <patternFill patternType="solid">
        <fgColor indexed="22"/>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6">
    <xf numFmtId="0" fontId="0" fillId="0" borderId="0" applyFill="0" applyBorder="0" applyProtection="0"/>
    <xf numFmtId="0" fontId="1" fillId="0" borderId="0"/>
    <xf numFmtId="43" fontId="1" fillId="0" borderId="0" applyFont="0" applyFill="0" applyBorder="0" applyAlignment="0" applyProtection="0"/>
    <xf numFmtId="166" fontId="1" fillId="0" borderId="0" applyFont="0" applyFill="0" applyBorder="0" applyAlignment="0" applyProtection="0"/>
    <xf numFmtId="0" fontId="8" fillId="0" borderId="0"/>
    <xf numFmtId="0" fontId="8" fillId="0" borderId="0"/>
    <xf numFmtId="0" fontId="6"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2" borderId="4" applyNumberFormat="0" applyAlignment="0" applyProtection="0"/>
    <xf numFmtId="43" fontId="1" fillId="0" borderId="0" applyFont="0" applyFill="0" applyBorder="0" applyAlignment="0" applyProtection="0"/>
    <xf numFmtId="166" fontId="8" fillId="0" borderId="0" applyFon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0" fontId="12" fillId="0" borderId="0"/>
    <xf numFmtId="0" fontId="8" fillId="0" borderId="0"/>
    <xf numFmtId="0" fontId="12" fillId="0" borderId="0"/>
    <xf numFmtId="0" fontId="12" fillId="0" borderId="0"/>
    <xf numFmtId="0" fontId="13" fillId="4" borderId="5" applyNumberFormat="0" applyAlignment="0" applyProtection="0"/>
    <xf numFmtId="0" fontId="8"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4" fillId="0" borderId="6"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53">
    <xf numFmtId="0" fontId="0" fillId="0" borderId="0" xfId="0"/>
    <xf numFmtId="0" fontId="0" fillId="0" borderId="0" xfId="0" applyAlignment="1">
      <alignment horizontal="center" vertical="center"/>
    </xf>
    <xf numFmtId="0" fontId="0" fillId="0" borderId="0" xfId="0" applyFont="1" applyAlignment="1">
      <alignment horizontal="center" vertical="center"/>
    </xf>
    <xf numFmtId="0" fontId="0" fillId="0" borderId="0" xfId="23" applyNumberFormat="1" applyFont="1" applyAlignment="1">
      <alignment horizontal="center" vertical="center"/>
    </xf>
    <xf numFmtId="2" fontId="0" fillId="0" borderId="0" xfId="0" applyNumberFormat="1" applyAlignment="1">
      <alignment horizontal="center" vertical="center"/>
    </xf>
    <xf numFmtId="2" fontId="0" fillId="0" borderId="0" xfId="23" applyNumberFormat="1" applyFont="1" applyAlignment="1">
      <alignment horizontal="center" vertical="center"/>
    </xf>
    <xf numFmtId="0" fontId="0" fillId="0" borderId="0" xfId="0" applyAlignment="1">
      <alignment horizontal="center" vertical="center" wrapText="1"/>
    </xf>
    <xf numFmtId="0" fontId="15" fillId="0" borderId="0" xfId="0" applyFont="1" applyAlignment="1">
      <alignment horizontal="center" vertical="center"/>
    </xf>
    <xf numFmtId="0" fontId="17" fillId="0" borderId="1" xfId="0" applyFont="1" applyFill="1" applyBorder="1" applyAlignment="1">
      <alignment horizontal="center" vertical="center" wrapText="1"/>
    </xf>
    <xf numFmtId="0" fontId="26" fillId="0" borderId="0" xfId="0" applyFont="1" applyFill="1" applyBorder="1" applyAlignment="1">
      <alignment horizontal="right"/>
    </xf>
    <xf numFmtId="0" fontId="23" fillId="0" borderId="0" xfId="1" applyFont="1" applyFill="1"/>
    <xf numFmtId="0" fontId="27"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7" fillId="0" borderId="0" xfId="0" applyFont="1" applyAlignment="1">
      <alignment horizontal="left" vertical="center" wrapText="1"/>
    </xf>
    <xf numFmtId="0" fontId="16" fillId="0" borderId="0" xfId="0" applyFont="1" applyAlignment="1">
      <alignment horizontal="left" vertical="center" wrapText="1"/>
    </xf>
    <xf numFmtId="0" fontId="20" fillId="0" borderId="0" xfId="0" applyFont="1" applyAlignment="1">
      <alignment horizontal="left" vertical="center"/>
    </xf>
    <xf numFmtId="0" fontId="0" fillId="0" borderId="0" xfId="0" applyAlignment="1">
      <alignment horizontal="left" vertical="center"/>
    </xf>
    <xf numFmtId="0" fontId="20" fillId="0" borderId="1" xfId="0" applyFont="1" applyBorder="1" applyAlignment="1">
      <alignment horizontal="left" vertical="center"/>
    </xf>
    <xf numFmtId="0" fontId="0" fillId="0" borderId="0" xfId="0" applyFill="1"/>
    <xf numFmtId="0" fontId="7" fillId="0" borderId="0" xfId="0" applyFont="1" applyFill="1"/>
    <xf numFmtId="0" fontId="2" fillId="0" borderId="0" xfId="0" applyFont="1" applyFill="1" applyAlignment="1">
      <alignment vertical="top"/>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xf numFmtId="0" fontId="2" fillId="0" borderId="0" xfId="0" applyFont="1" applyFill="1" applyAlignment="1">
      <alignment horizontal="right" vertical="top"/>
    </xf>
    <xf numFmtId="0" fontId="22" fillId="0" borderId="0" xfId="0" applyFont="1" applyFill="1" applyAlignment="1">
      <alignment horizontal="right" vertical="top"/>
    </xf>
    <xf numFmtId="0" fontId="23" fillId="0" borderId="0" xfId="1" applyFont="1" applyFill="1" applyAlignment="1">
      <alignment vertical="center" wrapText="1"/>
    </xf>
    <xf numFmtId="0" fontId="21" fillId="0" borderId="0" xfId="1" applyFont="1" applyFill="1" applyAlignment="1">
      <alignment vertical="center" wrapText="1"/>
    </xf>
    <xf numFmtId="0" fontId="23" fillId="0" borderId="0" xfId="0" applyFont="1" applyFill="1" applyAlignment="1">
      <alignment vertical="center"/>
    </xf>
    <xf numFmtId="0" fontId="20" fillId="0" borderId="0" xfId="0" applyFont="1" applyFill="1" applyAlignment="1">
      <alignment vertical="center"/>
    </xf>
    <xf numFmtId="0" fontId="23" fillId="0" borderId="0" xfId="0" applyFont="1" applyFill="1"/>
    <xf numFmtId="0" fontId="24" fillId="0" borderId="0" xfId="0" applyFont="1" applyFill="1" applyBorder="1" applyAlignment="1">
      <alignment horizontal="center" vertical="center" wrapText="1"/>
    </xf>
    <xf numFmtId="0" fontId="23" fillId="0" borderId="0" xfId="0" applyFont="1" applyFill="1" applyAlignment="1">
      <alignment vertical="center" wrapText="1"/>
    </xf>
    <xf numFmtId="0" fontId="23" fillId="0" borderId="0" xfId="0" applyFont="1" applyFill="1" applyAlignment="1">
      <alignment horizontal="right" vertical="center"/>
    </xf>
    <xf numFmtId="0" fontId="22" fillId="0" borderId="0" xfId="0" applyFont="1" applyFill="1" applyAlignment="1">
      <alignment vertical="top"/>
    </xf>
    <xf numFmtId="0" fontId="23" fillId="0" borderId="0" xfId="14" applyFont="1" applyFill="1"/>
    <xf numFmtId="9" fontId="20" fillId="0" borderId="9" xfId="0" applyNumberFormat="1" applyFont="1" applyFill="1" applyBorder="1"/>
    <xf numFmtId="0" fontId="20" fillId="0" borderId="9" xfId="0" applyFont="1" applyFill="1" applyBorder="1"/>
    <xf numFmtId="0" fontId="20" fillId="0" borderId="10" xfId="0" applyFont="1" applyFill="1" applyBorder="1"/>
    <xf numFmtId="0" fontId="20" fillId="0" borderId="1" xfId="0" applyFont="1" applyFill="1" applyBorder="1"/>
    <xf numFmtId="0" fontId="20" fillId="0" borderId="3" xfId="0" applyFont="1" applyFill="1" applyBorder="1"/>
    <xf numFmtId="0" fontId="20" fillId="0" borderId="20" xfId="0" applyFont="1" applyFill="1" applyBorder="1"/>
    <xf numFmtId="0" fontId="20" fillId="0" borderId="0" xfId="0" applyFont="1" applyFill="1" applyBorder="1"/>
    <xf numFmtId="0" fontId="20" fillId="0" borderId="14" xfId="0" applyFont="1" applyFill="1" applyBorder="1"/>
    <xf numFmtId="0" fontId="27" fillId="0" borderId="0" xfId="0" applyFont="1" applyFill="1" applyAlignment="1">
      <alignment horizontal="left" vertical="center" wrapText="1"/>
    </xf>
    <xf numFmtId="0" fontId="27" fillId="0" borderId="0" xfId="0" applyFont="1" applyFill="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horizontal="center" vertical="center" wrapText="1"/>
    </xf>
    <xf numFmtId="0" fontId="20" fillId="0" borderId="0" xfId="0" applyFont="1" applyFill="1" applyAlignment="1">
      <alignment horizontal="center" vertical="center" wrapText="1"/>
    </xf>
    <xf numFmtId="165" fontId="20" fillId="0" borderId="0" xfId="0" applyNumberFormat="1" applyFont="1" applyFill="1" applyAlignment="1">
      <alignment horizontal="center" vertical="center" wrapText="1"/>
    </xf>
    <xf numFmtId="0" fontId="17" fillId="0" borderId="0" xfId="0" applyFont="1" applyFill="1" applyAlignment="1">
      <alignment horizontal="center" vertical="center" wrapText="1"/>
    </xf>
    <xf numFmtId="1" fontId="20" fillId="0" borderId="0" xfId="0" applyNumberFormat="1" applyFont="1" applyFill="1" applyAlignment="1">
      <alignment horizontal="center" vertical="center" wrapText="1"/>
    </xf>
    <xf numFmtId="164" fontId="20" fillId="0" borderId="0" xfId="0" applyNumberFormat="1" applyFont="1" applyFill="1" applyAlignment="1">
      <alignment horizontal="center" vertical="center" wrapText="1"/>
    </xf>
    <xf numFmtId="167" fontId="20" fillId="0" borderId="0" xfId="0" applyNumberFormat="1" applyFont="1" applyFill="1" applyAlignment="1">
      <alignment horizontal="center" vertical="center" wrapText="1"/>
    </xf>
    <xf numFmtId="168" fontId="20" fillId="0" borderId="0" xfId="0" applyNumberFormat="1" applyFont="1" applyFill="1" applyAlignment="1">
      <alignment horizontal="center" vertical="center" wrapText="1"/>
    </xf>
    <xf numFmtId="2" fontId="20" fillId="0" borderId="0" xfId="0" applyNumberFormat="1" applyFont="1" applyFill="1" applyAlignment="1">
      <alignment horizontal="center" vertical="center" wrapText="1"/>
    </xf>
    <xf numFmtId="0" fontId="20" fillId="0" borderId="0" xfId="0" applyFont="1" applyFill="1" applyAlignment="1">
      <alignment horizontal="left"/>
    </xf>
    <xf numFmtId="0" fontId="20" fillId="0" borderId="0" xfId="0" applyFont="1" applyFill="1" applyAlignment="1">
      <alignment horizontal="left" vertical="top" wrapText="1"/>
    </xf>
    <xf numFmtId="0" fontId="27" fillId="0" borderId="0" xfId="0" applyFont="1" applyFill="1" applyAlignment="1">
      <alignment horizontal="center" vertical="center"/>
    </xf>
    <xf numFmtId="0" fontId="23" fillId="0" borderId="1" xfId="0" applyFont="1" applyFill="1" applyBorder="1" applyAlignment="1">
      <alignment horizontal="center"/>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167" fontId="23" fillId="0" borderId="1" xfId="0" applyNumberFormat="1" applyFont="1" applyFill="1" applyBorder="1" applyAlignment="1">
      <alignment horizontal="center" vertical="center"/>
    </xf>
    <xf numFmtId="164" fontId="23" fillId="0" borderId="1" xfId="0" applyNumberFormat="1" applyFont="1" applyFill="1" applyBorder="1" applyAlignment="1">
      <alignment horizontal="center" vertical="center"/>
    </xf>
    <xf numFmtId="167" fontId="23" fillId="0" borderId="1" xfId="0" applyNumberFormat="1" applyFont="1" applyFill="1" applyBorder="1" applyAlignment="1">
      <alignment horizontal="center"/>
    </xf>
    <xf numFmtId="164" fontId="23" fillId="0" borderId="1" xfId="0" applyNumberFormat="1" applyFont="1" applyFill="1" applyBorder="1" applyAlignment="1">
      <alignment horizontal="center"/>
    </xf>
    <xf numFmtId="167" fontId="20" fillId="0" borderId="0" xfId="0" applyNumberFormat="1" applyFont="1" applyFill="1" applyAlignment="1">
      <alignment horizontal="center"/>
    </xf>
    <xf numFmtId="0" fontId="27" fillId="0" borderId="8" xfId="0" applyFont="1" applyFill="1" applyBorder="1"/>
    <xf numFmtId="0" fontId="20" fillId="0" borderId="11" xfId="0" applyFont="1" applyFill="1" applyBorder="1"/>
    <xf numFmtId="0" fontId="20" fillId="0" borderId="13" xfId="0" applyFont="1" applyFill="1" applyBorder="1"/>
    <xf numFmtId="0" fontId="20" fillId="0" borderId="0" xfId="0" applyFont="1" applyFill="1" applyAlignment="1">
      <alignment wrapText="1"/>
    </xf>
    <xf numFmtId="0" fontId="0" fillId="0" borderId="0" xfId="0"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Border="1" applyAlignment="1">
      <alignment vertical="top" wrapText="1"/>
    </xf>
    <xf numFmtId="0" fontId="0" fillId="0" borderId="0" xfId="0" applyFill="1" applyAlignment="1">
      <alignment vertical="center"/>
    </xf>
    <xf numFmtId="0" fontId="0" fillId="0" borderId="0" xfId="0" applyFill="1"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6" fillId="0" borderId="1" xfId="0" applyFont="1" applyBorder="1" applyAlignment="1">
      <alignment vertical="center" wrapText="1"/>
    </xf>
    <xf numFmtId="0" fontId="30" fillId="0" borderId="1" xfId="0" applyFont="1" applyFill="1" applyBorder="1" applyAlignment="1">
      <alignment vertical="top" wrapText="1"/>
    </xf>
    <xf numFmtId="0" fontId="28" fillId="0" borderId="1" xfId="0" applyFont="1" applyFill="1" applyBorder="1" applyAlignment="1">
      <alignment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28" fillId="0" borderId="1" xfId="0" applyFont="1" applyFill="1" applyBorder="1" applyAlignment="1">
      <alignment horizontal="center" vertical="center" wrapText="1"/>
    </xf>
    <xf numFmtId="1" fontId="28" fillId="0" borderId="1" xfId="0" applyNumberFormat="1" applyFont="1" applyFill="1" applyBorder="1" applyAlignment="1">
      <alignment horizontal="center" vertical="center" wrapText="1"/>
    </xf>
    <xf numFmtId="0" fontId="31" fillId="0" borderId="1" xfId="0" applyFont="1" applyFill="1" applyBorder="1" applyAlignment="1">
      <alignment vertical="center" wrapText="1"/>
    </xf>
    <xf numFmtId="0" fontId="28" fillId="0" borderId="1" xfId="14" applyFont="1" applyFill="1" applyBorder="1" applyAlignment="1">
      <alignment vertical="center" wrapText="1"/>
    </xf>
    <xf numFmtId="0" fontId="32" fillId="0" borderId="1" xfId="0"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2" fontId="28" fillId="0" borderId="1" xfId="0" applyNumberFormat="1" applyFont="1" applyFill="1" applyBorder="1" applyAlignment="1">
      <alignment horizontal="center" vertical="center" wrapText="1"/>
    </xf>
    <xf numFmtId="165" fontId="28" fillId="0" borderId="1" xfId="0" applyNumberFormat="1" applyFont="1" applyFill="1" applyBorder="1" applyAlignment="1">
      <alignment horizontal="center" vertical="center" wrapText="1"/>
    </xf>
    <xf numFmtId="0" fontId="30" fillId="0" borderId="1" xfId="0" applyFont="1" applyFill="1" applyBorder="1" applyAlignment="1">
      <alignment vertical="center" wrapText="1"/>
    </xf>
    <xf numFmtId="0" fontId="30" fillId="0" borderId="1" xfId="0" applyFont="1" applyBorder="1" applyAlignment="1">
      <alignment horizontal="left" vertical="center" wrapText="1"/>
    </xf>
    <xf numFmtId="0" fontId="33" fillId="0" borderId="1" xfId="0" applyFont="1" applyBorder="1" applyAlignment="1">
      <alignment horizontal="justify" vertical="center" wrapText="1"/>
    </xf>
    <xf numFmtId="0" fontId="37" fillId="0" borderId="1" xfId="0" applyFont="1" applyBorder="1" applyAlignment="1">
      <alignment horizontal="left" vertical="center" wrapText="1"/>
    </xf>
    <xf numFmtId="0" fontId="30" fillId="0" borderId="1" xfId="0" applyFont="1" applyFill="1" applyBorder="1" applyAlignment="1">
      <alignment horizontal="center" vertical="center" wrapText="1"/>
    </xf>
    <xf numFmtId="0" fontId="4" fillId="0" borderId="0" xfId="1" applyFont="1" applyFill="1" applyAlignment="1">
      <alignment horizontal="justify" vertical="center" wrapText="1"/>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0" xfId="0" applyFill="1" applyAlignment="1">
      <alignment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27" fillId="0" borderId="0" xfId="0" applyFont="1" applyFill="1" applyAlignment="1">
      <alignment horizontal="center" vertical="center" wrapText="1"/>
    </xf>
    <xf numFmtId="0" fontId="23" fillId="0" borderId="18"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17" fillId="0" borderId="0" xfId="0" applyFont="1" applyFill="1" applyAlignment="1">
      <alignment horizontal="center" vertical="center" wrapText="1"/>
    </xf>
    <xf numFmtId="0" fontId="27" fillId="0" borderId="0" xfId="0" applyFont="1" applyFill="1" applyAlignment="1">
      <alignment vertical="center" wrapText="1"/>
    </xf>
    <xf numFmtId="0" fontId="15" fillId="0" borderId="0" xfId="0" applyFont="1" applyAlignment="1">
      <alignment horizontal="center" vertical="center"/>
    </xf>
    <xf numFmtId="0" fontId="27" fillId="0" borderId="1" xfId="0" applyFont="1" applyBorder="1" applyAlignment="1">
      <alignment horizontal="center" vertical="center"/>
    </xf>
    <xf numFmtId="0" fontId="0" fillId="0" borderId="0" xfId="0" applyFill="1" applyAlignment="1">
      <alignment horizontal="center" vertical="center"/>
    </xf>
    <xf numFmtId="0" fontId="33" fillId="0" borderId="1" xfId="0" applyFont="1" applyBorder="1" applyAlignment="1">
      <alignment horizontal="left" wrapText="1"/>
    </xf>
    <xf numFmtId="0" fontId="18" fillId="0" borderId="0" xfId="0" applyFont="1" applyFill="1" applyAlignment="1">
      <alignment horizontal="left" vertical="center"/>
    </xf>
    <xf numFmtId="0" fontId="33" fillId="0" borderId="1" xfId="0" applyFont="1" applyBorder="1" applyAlignment="1">
      <alignment horizontal="left" vertical="center" wrapText="1"/>
    </xf>
    <xf numFmtId="0" fontId="33" fillId="0" borderId="1" xfId="14" applyFont="1" applyBorder="1" applyAlignment="1">
      <alignment horizontal="left" vertical="center" wrapText="1"/>
    </xf>
    <xf numFmtId="0" fontId="34" fillId="0" borderId="1" xfId="0" applyFont="1" applyBorder="1" applyAlignment="1">
      <alignment horizontal="left" vertical="center" wrapText="1"/>
    </xf>
    <xf numFmtId="0" fontId="35" fillId="0" borderId="1" xfId="0" applyFont="1" applyBorder="1" applyAlignment="1">
      <alignment horizontal="left" vertical="center" wrapText="1"/>
    </xf>
    <xf numFmtId="0" fontId="30" fillId="0" borderId="20" xfId="0" applyFont="1" applyBorder="1" applyAlignment="1">
      <alignment horizontal="left" vertical="center" wrapText="1"/>
    </xf>
    <xf numFmtId="0" fontId="38" fillId="0" borderId="1" xfId="14" applyFont="1" applyBorder="1" applyAlignment="1">
      <alignment vertical="center" wrapText="1"/>
    </xf>
    <xf numFmtId="0" fontId="23" fillId="0" borderId="0" xfId="0" applyFont="1" applyFill="1" applyAlignment="1">
      <alignment horizontal="left" vertical="center"/>
    </xf>
    <xf numFmtId="0" fontId="28" fillId="0" borderId="16"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9" xfId="0" applyFont="1" applyFill="1" applyBorder="1" applyAlignment="1">
      <alignment horizontal="center" vertical="center" wrapText="1"/>
    </xf>
    <xf numFmtId="9" fontId="23" fillId="0" borderId="9" xfId="0" applyNumberFormat="1" applyFont="1" applyFill="1" applyBorder="1" applyAlignment="1">
      <alignment horizontal="center" vertical="center" wrapText="1"/>
    </xf>
    <xf numFmtId="0" fontId="39" fillId="0" borderId="1" xfId="0" applyFont="1" applyBorder="1" applyAlignment="1">
      <alignment horizontal="left" vertical="top" wrapText="1"/>
    </xf>
    <xf numFmtId="0" fontId="39" fillId="0" borderId="3" xfId="0" applyFont="1" applyBorder="1" applyAlignment="1">
      <alignment horizontal="left" vertical="top" wrapText="1"/>
    </xf>
    <xf numFmtId="0" fontId="39" fillId="0" borderId="7" xfId="0" applyFont="1" applyBorder="1" applyAlignment="1">
      <alignment horizontal="left" vertical="top" wrapText="1"/>
    </xf>
    <xf numFmtId="0" fontId="39" fillId="0" borderId="2" xfId="0" applyFont="1" applyBorder="1" applyAlignment="1">
      <alignment horizontal="left" vertical="top" wrapText="1"/>
    </xf>
    <xf numFmtId="0" fontId="39" fillId="0" borderId="17" xfId="0" applyFont="1" applyBorder="1" applyAlignment="1">
      <alignment horizontal="left" vertical="top" wrapText="1"/>
    </xf>
    <xf numFmtId="0" fontId="39" fillId="0" borderId="18" xfId="0" applyFont="1" applyBorder="1" applyAlignment="1">
      <alignment horizontal="left" vertical="top" wrapText="1"/>
    </xf>
    <xf numFmtId="0" fontId="39" fillId="0" borderId="21" xfId="0" applyFont="1" applyBorder="1" applyAlignment="1">
      <alignment horizontal="left" vertical="top" wrapText="1"/>
    </xf>
    <xf numFmtId="0" fontId="39" fillId="0" borderId="22" xfId="0" applyFont="1" applyBorder="1" applyAlignment="1">
      <alignment horizontal="left" vertical="top" wrapText="1"/>
    </xf>
    <xf numFmtId="0" fontId="39" fillId="0" borderId="23" xfId="0" applyFont="1" applyBorder="1" applyAlignment="1">
      <alignment horizontal="left" vertical="top" wrapText="1"/>
    </xf>
    <xf numFmtId="0" fontId="39" fillId="0" borderId="24" xfId="0" applyFont="1" applyBorder="1" applyAlignment="1">
      <alignment horizontal="left" vertical="top" wrapText="1"/>
    </xf>
    <xf numFmtId="0" fontId="39" fillId="0" borderId="0" xfId="0" applyFont="1" applyFill="1" applyAlignment="1">
      <alignment vertical="top" wrapText="1"/>
    </xf>
    <xf numFmtId="0" fontId="39" fillId="0" borderId="0" xfId="0" applyFont="1" applyFill="1" applyAlignment="1">
      <alignment vertical="top" wrapText="1"/>
    </xf>
    <xf numFmtId="0" fontId="39" fillId="0" borderId="25" xfId="0" applyFont="1" applyFill="1" applyBorder="1" applyAlignment="1">
      <alignment vertical="top" wrapText="1"/>
    </xf>
    <xf numFmtId="0" fontId="0" fillId="0" borderId="0" xfId="0" applyAlignment="1">
      <alignment horizontal="left" vertical="center" wrapText="1"/>
    </xf>
    <xf numFmtId="0" fontId="38" fillId="0" borderId="0" xfId="0" applyFont="1" applyAlignment="1">
      <alignment horizontal="center" vertical="center" wrapText="1"/>
    </xf>
    <xf numFmtId="0" fontId="41" fillId="0" borderId="0" xfId="0" applyFont="1" applyAlignment="1">
      <alignment horizontal="center" vertical="center"/>
    </xf>
    <xf numFmtId="0" fontId="41" fillId="0" borderId="0" xfId="0" applyFont="1" applyAlignment="1">
      <alignment horizontal="center" vertical="center" wrapText="1"/>
    </xf>
    <xf numFmtId="0" fontId="38" fillId="0" borderId="0" xfId="0" applyFont="1" applyAlignment="1">
      <alignment horizontal="center" vertical="center" wrapText="1"/>
    </xf>
    <xf numFmtId="0" fontId="36" fillId="0" borderId="1" xfId="14" applyFont="1" applyBorder="1" applyAlignment="1">
      <alignment horizontal="left" vertical="center" wrapText="1"/>
    </xf>
    <xf numFmtId="0" fontId="37" fillId="0" borderId="1" xfId="14" applyFont="1" applyBorder="1" applyAlignment="1">
      <alignment horizontal="left" vertical="center" wrapText="1"/>
    </xf>
  </cellXfs>
  <cellStyles count="26">
    <cellStyle name="Comma 2" xfId="2" xr:uid="{00000000-0005-0000-0000-000000000000}"/>
    <cellStyle name="Comma 2 2" xfId="24" xr:uid="{00000000-0005-0000-0000-000001000000}"/>
    <cellStyle name="Comma 3" xfId="3" xr:uid="{00000000-0005-0000-0000-000002000000}"/>
    <cellStyle name="Comma0 - Type3" xfId="4" xr:uid="{00000000-0005-0000-0000-000003000000}"/>
    <cellStyle name="Fixed2 - Type2" xfId="5" xr:uid="{00000000-0005-0000-0000-000004000000}"/>
    <cellStyle name="Hyperlink 2" xfId="6" xr:uid="{00000000-0005-0000-0000-000006000000}"/>
    <cellStyle name="Hyperlink 3" xfId="7" xr:uid="{00000000-0005-0000-0000-000007000000}"/>
    <cellStyle name="Input 2" xfId="8" xr:uid="{00000000-0005-0000-0000-000008000000}"/>
    <cellStyle name="Komma 2" xfId="9" xr:uid="{00000000-0005-0000-0000-000009000000}"/>
    <cellStyle name="Komma 2 2" xfId="25" xr:uid="{00000000-0005-0000-0000-00000A000000}"/>
    <cellStyle name="Komma 3" xfId="10" xr:uid="{00000000-0005-0000-0000-00000B000000}"/>
    <cellStyle name="Link 2" xfId="11" xr:uid="{00000000-0005-0000-0000-00000C000000}"/>
    <cellStyle name="Neutral 2" xfId="12" xr:uid="{00000000-0005-0000-0000-00000D000000}"/>
    <cellStyle name="Normal" xfId="0" builtinId="0"/>
    <cellStyle name="Normal 10" xfId="13" xr:uid="{00000000-0005-0000-0000-00000F000000}"/>
    <cellStyle name="Normal 2" xfId="14" xr:uid="{00000000-0005-0000-0000-000010000000}"/>
    <cellStyle name="Normal 3" xfId="1" xr:uid="{00000000-0005-0000-0000-000011000000}"/>
    <cellStyle name="Normal 6" xfId="15" xr:uid="{00000000-0005-0000-0000-000012000000}"/>
    <cellStyle name="Normal 6 2" xfId="16" xr:uid="{00000000-0005-0000-0000-000013000000}"/>
    <cellStyle name="Output 2" xfId="17" xr:uid="{00000000-0005-0000-0000-000014000000}"/>
    <cellStyle name="Percen - Type1" xfId="18" xr:uid="{00000000-0005-0000-0000-000015000000}"/>
    <cellStyle name="Percent 2" xfId="19" xr:uid="{00000000-0005-0000-0000-000016000000}"/>
    <cellStyle name="Porcentaje" xfId="23" builtinId="5"/>
    <cellStyle name="Procent 2" xfId="20" xr:uid="{00000000-0005-0000-0000-000018000000}"/>
    <cellStyle name="Procent 3" xfId="21" xr:uid="{00000000-0005-0000-0000-000019000000}"/>
    <cellStyle name="Total 2" xfId="22"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theme" Target="theme/theme1.xml"/><Relationship Id="rId5" Type="http://schemas.openxmlformats.org/officeDocument/2006/relationships/chartsheet" Target="chartsheets/sheet2.xml"/><Relationship Id="rId10" Type="http://schemas.openxmlformats.org/officeDocument/2006/relationships/externalLink" Target="externalLinks/externalLink3.xml"/><Relationship Id="rId4" Type="http://schemas.openxmlformats.org/officeDocument/2006/relationships/chartsheet" Target="chartsheets/sheet1.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8525617132918382E-2"/>
                  <c:y val="0.45116483879582836"/>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Uncertanties!$T$2:$T$3</c:f>
              <c:numCache>
                <c:formatCode>General</c:formatCode>
                <c:ptCount val="2"/>
                <c:pt idx="0">
                  <c:v>2020</c:v>
                </c:pt>
                <c:pt idx="1">
                  <c:v>2050</c:v>
                </c:pt>
              </c:numCache>
            </c:numRef>
          </c:xVal>
          <c:yVal>
            <c:numRef>
              <c:f>Uncertanties!$U$2:$U$3</c:f>
              <c:numCache>
                <c:formatCode>0.00</c:formatCode>
                <c:ptCount val="2"/>
                <c:pt idx="0">
                  <c:v>-0.2857142857142857</c:v>
                </c:pt>
                <c:pt idx="1">
                  <c:v>-0.2</c:v>
                </c:pt>
              </c:numCache>
            </c:numRef>
          </c:yVal>
          <c:smooth val="1"/>
          <c:extLst>
            <c:ext xmlns:c16="http://schemas.microsoft.com/office/drawing/2014/chart" uri="{C3380CC4-5D6E-409C-BE32-E72D297353CC}">
              <c16:uniqueId val="{00000000-3B98-4391-997F-D0598065F9CE}"/>
            </c:ext>
          </c:extLst>
        </c:ser>
        <c:dLbls>
          <c:showLegendKey val="0"/>
          <c:showVal val="0"/>
          <c:showCatName val="0"/>
          <c:showSerName val="0"/>
          <c:showPercent val="0"/>
          <c:showBubbleSize val="0"/>
        </c:dLbls>
        <c:axId val="90619264"/>
        <c:axId val="91163648"/>
      </c:scatterChart>
      <c:valAx>
        <c:axId val="906192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1163648"/>
        <c:crosses val="autoZero"/>
        <c:crossBetween val="midCat"/>
      </c:valAx>
      <c:valAx>
        <c:axId val="91163648"/>
        <c:scaling>
          <c:orientation val="minMax"/>
          <c:max val="-0.1500000000000000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6192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5537120754034997"/>
                  <c:y val="-7.5494639143263403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Uncertanties!$T$2:$T$3</c:f>
              <c:numCache>
                <c:formatCode>General</c:formatCode>
                <c:ptCount val="2"/>
                <c:pt idx="0">
                  <c:v>2020</c:v>
                </c:pt>
                <c:pt idx="1">
                  <c:v>2050</c:v>
                </c:pt>
              </c:numCache>
            </c:numRef>
          </c:xVal>
          <c:yVal>
            <c:numRef>
              <c:f>Uncertanties!$V$2:$V$3</c:f>
              <c:numCache>
                <c:formatCode>0.00</c:formatCode>
                <c:ptCount val="2"/>
                <c:pt idx="0">
                  <c:v>0.42857142857142855</c:v>
                </c:pt>
                <c:pt idx="1">
                  <c:v>0.2</c:v>
                </c:pt>
              </c:numCache>
            </c:numRef>
          </c:yVal>
          <c:smooth val="1"/>
          <c:extLst>
            <c:ext xmlns:c16="http://schemas.microsoft.com/office/drawing/2014/chart" uri="{C3380CC4-5D6E-409C-BE32-E72D297353CC}">
              <c16:uniqueId val="{00000000-5678-4978-9457-64683A8E2F57}"/>
            </c:ext>
          </c:extLst>
        </c:ser>
        <c:dLbls>
          <c:showLegendKey val="0"/>
          <c:showVal val="0"/>
          <c:showCatName val="0"/>
          <c:showSerName val="0"/>
          <c:showPercent val="0"/>
          <c:showBubbleSize val="0"/>
        </c:dLbls>
        <c:axId val="91200896"/>
        <c:axId val="91214976"/>
      </c:scatterChart>
      <c:valAx>
        <c:axId val="91200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1214976"/>
        <c:crosses val="autoZero"/>
        <c:crossBetween val="midCat"/>
      </c:valAx>
      <c:valAx>
        <c:axId val="91214976"/>
        <c:scaling>
          <c:orientation val="minMax"/>
          <c:min val="0.1500000000000000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12008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0.4786527218774394"/>
                  <c:y val="0.1187116568804164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(Data!$F$1,Data!$H$1,Data!$I$1,Data!$J$1)</c:f>
              <c:numCache>
                <c:formatCode>General</c:formatCode>
                <c:ptCount val="4"/>
                <c:pt idx="0">
                  <c:v>2016</c:v>
                </c:pt>
                <c:pt idx="1">
                  <c:v>2020</c:v>
                </c:pt>
                <c:pt idx="2">
                  <c:v>2025</c:v>
                </c:pt>
                <c:pt idx="3">
                  <c:v>2030</c:v>
                </c:pt>
              </c:numCache>
            </c:numRef>
          </c:xVal>
          <c:yVal>
            <c:numRef>
              <c:f>(Data!$F$15,Data!$H$15,Data!$I$15,Data!$J$15)</c:f>
              <c:numCache>
                <c:formatCode>General</c:formatCode>
                <c:ptCount val="4"/>
                <c:pt idx="0">
                  <c:v>5.2499999999999998E-2</c:v>
                </c:pt>
                <c:pt idx="1">
                  <c:v>4.8099999999999997E-2</c:v>
                </c:pt>
                <c:pt idx="2">
                  <c:v>4.5699999999999998E-2</c:v>
                </c:pt>
                <c:pt idx="3">
                  <c:v>4.4200000000000003E-2</c:v>
                </c:pt>
              </c:numCache>
            </c:numRef>
          </c:yVal>
          <c:smooth val="1"/>
          <c:extLst>
            <c:ext xmlns:c16="http://schemas.microsoft.com/office/drawing/2014/chart" uri="{C3380CC4-5D6E-409C-BE32-E72D297353CC}">
              <c16:uniqueId val="{00000000-1BD8-414A-9A72-51951AF03312}"/>
            </c:ext>
          </c:extLst>
        </c:ser>
        <c:dLbls>
          <c:showLegendKey val="0"/>
          <c:showVal val="0"/>
          <c:showCatName val="0"/>
          <c:showSerName val="0"/>
          <c:showPercent val="0"/>
          <c:showBubbleSize val="0"/>
        </c:dLbls>
        <c:axId val="109220608"/>
        <c:axId val="109222144"/>
      </c:scatterChart>
      <c:valAx>
        <c:axId val="1092206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222144"/>
        <c:crosses val="autoZero"/>
        <c:crossBetween val="midCat"/>
      </c:valAx>
      <c:valAx>
        <c:axId val="109222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22060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tx>
            <c:v>IRENA</c:v>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forward val="20"/>
            <c:dispRSqr val="1"/>
            <c:dispEq val="1"/>
            <c:trendlineLbl>
              <c:layout>
                <c:manualLayout>
                  <c:x val="-0.26864824843918383"/>
                  <c:y val="-4.1468909466297041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(Data!$F$1,Data!$H$1,Data!$I$1,Data!$J$1)</c:f>
              <c:numCache>
                <c:formatCode>General</c:formatCode>
                <c:ptCount val="4"/>
                <c:pt idx="0">
                  <c:v>2016</c:v>
                </c:pt>
                <c:pt idx="1">
                  <c:v>2020</c:v>
                </c:pt>
                <c:pt idx="2">
                  <c:v>2025</c:v>
                </c:pt>
                <c:pt idx="3">
                  <c:v>2030</c:v>
                </c:pt>
              </c:numCache>
            </c:numRef>
          </c:xVal>
          <c:yVal>
            <c:numRef>
              <c:f>(Data!$F$16,Data!$H$16,Data!$I$16,Data!$J$16)</c:f>
              <c:numCache>
                <c:formatCode>General</c:formatCode>
                <c:ptCount val="4"/>
                <c:pt idx="0">
                  <c:v>0.94499999999999995</c:v>
                </c:pt>
                <c:pt idx="1">
                  <c:v>0.78159999999999996</c:v>
                </c:pt>
                <c:pt idx="2">
                  <c:v>0.7127</c:v>
                </c:pt>
                <c:pt idx="3">
                  <c:v>0.69340000000000002</c:v>
                </c:pt>
              </c:numCache>
            </c:numRef>
          </c:yVal>
          <c:smooth val="1"/>
          <c:extLst>
            <c:ext xmlns:c16="http://schemas.microsoft.com/office/drawing/2014/chart" uri="{C3380CC4-5D6E-409C-BE32-E72D297353CC}">
              <c16:uniqueId val="{00000000-655F-4AC4-A018-A67AC61D40C4}"/>
            </c:ext>
          </c:extLst>
        </c:ser>
        <c:ser>
          <c:idx val="1"/>
          <c:order val="1"/>
          <c:tx>
            <c:v>1/x</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(Data!$E$25:$E$28,Data!$K$1)</c:f>
              <c:numCache>
                <c:formatCode>General</c:formatCode>
                <c:ptCount val="5"/>
                <c:pt idx="0">
                  <c:v>2016</c:v>
                </c:pt>
                <c:pt idx="1">
                  <c:v>2020</c:v>
                </c:pt>
                <c:pt idx="2">
                  <c:v>2025</c:v>
                </c:pt>
                <c:pt idx="3">
                  <c:v>2030</c:v>
                </c:pt>
                <c:pt idx="4">
                  <c:v>2050</c:v>
                </c:pt>
              </c:numCache>
            </c:numRef>
          </c:xVal>
          <c:yVal>
            <c:numRef>
              <c:f>Data!$L$25:$L$29</c:f>
              <c:numCache>
                <c:formatCode>0.000</c:formatCode>
                <c:ptCount val="5"/>
                <c:pt idx="0">
                  <c:v>0.89618378438703583</c:v>
                </c:pt>
                <c:pt idx="1">
                  <c:v>0.81803518392315944</c:v>
                </c:pt>
                <c:pt idx="2">
                  <c:v>0.73763189341992963</c:v>
                </c:pt>
                <c:pt idx="3">
                  <c:v>0.67161954744492525</c:v>
                </c:pt>
                <c:pt idx="4">
                  <c:v>0.49457647822381923</c:v>
                </c:pt>
              </c:numCache>
            </c:numRef>
          </c:yVal>
          <c:smooth val="1"/>
          <c:extLst>
            <c:ext xmlns:c16="http://schemas.microsoft.com/office/drawing/2014/chart" uri="{C3380CC4-5D6E-409C-BE32-E72D297353CC}">
              <c16:uniqueId val="{00000002-06FF-45EE-BA8F-75B04E5B4260}"/>
            </c:ext>
          </c:extLst>
        </c:ser>
        <c:ser>
          <c:idx val="2"/>
          <c:order val="2"/>
          <c:tx>
            <c:v>Learning curve approximation</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(Data!$E$25:$E$28,Data!$K$1)</c:f>
              <c:numCache>
                <c:formatCode>General</c:formatCode>
                <c:ptCount val="5"/>
                <c:pt idx="0">
                  <c:v>2016</c:v>
                </c:pt>
                <c:pt idx="1">
                  <c:v>2020</c:v>
                </c:pt>
                <c:pt idx="2">
                  <c:v>2025</c:v>
                </c:pt>
                <c:pt idx="3">
                  <c:v>2030</c:v>
                </c:pt>
                <c:pt idx="4">
                  <c:v>2050</c:v>
                </c:pt>
              </c:numCache>
            </c:numRef>
          </c:xVal>
          <c:yVal>
            <c:numRef>
              <c:f>(Data!$F$25,Data!$F$34:$F$37)</c:f>
              <c:numCache>
                <c:formatCode>General</c:formatCode>
                <c:ptCount val="5"/>
                <c:pt idx="0">
                  <c:v>0.94499999999999995</c:v>
                </c:pt>
                <c:pt idx="1">
                  <c:v>0.78654684624869753</c:v>
                </c:pt>
                <c:pt idx="2">
                  <c:v>0.72676928593379664</c:v>
                </c:pt>
                <c:pt idx="3">
                  <c:v>0.69393046716928986</c:v>
                </c:pt>
                <c:pt idx="4">
                  <c:v>0.63001898035381954</c:v>
                </c:pt>
              </c:numCache>
            </c:numRef>
          </c:yVal>
          <c:smooth val="1"/>
          <c:extLst>
            <c:ext xmlns:c16="http://schemas.microsoft.com/office/drawing/2014/chart" uri="{C3380CC4-5D6E-409C-BE32-E72D297353CC}">
              <c16:uniqueId val="{00000001-5F8A-41EB-A380-29B683D5F9D3}"/>
            </c:ext>
          </c:extLst>
        </c:ser>
        <c:dLbls>
          <c:showLegendKey val="0"/>
          <c:showVal val="0"/>
          <c:showCatName val="0"/>
          <c:showSerName val="0"/>
          <c:showPercent val="0"/>
          <c:showBubbleSize val="0"/>
        </c:dLbls>
        <c:axId val="130796160"/>
        <c:axId val="130990080"/>
      </c:scatterChart>
      <c:valAx>
        <c:axId val="130796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990080"/>
        <c:crosses val="autoZero"/>
        <c:crossBetween val="midCat"/>
      </c:valAx>
      <c:valAx>
        <c:axId val="13099008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07961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0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0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0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0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671344" cy="6299080"/>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2286" cy="6295571"/>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2286" cy="6295571"/>
    <xdr:graphicFrame macro="">
      <xdr:nvGraphicFramePr>
        <xdr:cNvPr id="2" name="Gráfico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2286" cy="6295571"/>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PROY%20ALM%20ENE/DS%20REF/MX%20TC%20Data%20Sheets%20Draft1_Ver_191127a%20SPI%20(Autoguar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C\Desktop\COOP%20DANESA\Catalogue\MX%20TC%20Data%20Sheets%20-%20final%20draft_revi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S"/>
      <sheetName val="Li-Ion Battery"/>
      <sheetName val="Lead acid battery"/>
      <sheetName val="Na-S Battery"/>
      <sheetName val="VR Flow Battery"/>
      <sheetName val="CAES"/>
      <sheetName val="Molten Salt"/>
      <sheetName val="Supercapacitors"/>
      <sheetName val="Flywheels"/>
    </sheetNames>
    <sheetDataSet>
      <sheetData sheetId="0" refreshError="1"/>
      <sheetData sheetId="1"/>
      <sheetData sheetId="2"/>
      <sheetData sheetId="3"/>
      <sheetData sheetId="4" refreshError="1"/>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 Pump Hydro Storage"/>
      <sheetName val="PHS - Datos revisión"/>
      <sheetName val="03 Lithium Ion Battery"/>
      <sheetName val="04 Lead-Acid Battery"/>
      <sheetName val="Lead Acid - Datos revisión."/>
      <sheetName val="05 Na-S Battery"/>
      <sheetName val="Na-S - Datos revision"/>
      <sheetName val="06 Vanadium Redox Flow Battery"/>
      <sheetName val="07 Molten Salt Storage 2f"/>
      <sheetName val="Molten Salt -Datos revisión "/>
      <sheetName val="08 CAES"/>
      <sheetName val="09 Supercapacitors"/>
      <sheetName val="Supercapacit - Datos recientes"/>
      <sheetName val="10 Flywheels"/>
      <sheetName val="Flywheels - Datos recientes"/>
      <sheetName val="VR Flow - Datos revision"/>
      <sheetName val="CAES -Datos rec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rena.org/-/media/Files/IRENA/Agency/Events/2017/Mar/15/2017_Kairies_Battery_Cost_and_Performance_01.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rena.org/-/media/Files/IRENA/Agency/Events/2017/Mar/15/2017_Kairies_Battery_Cost_and_Performance_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X83"/>
  <sheetViews>
    <sheetView showGridLines="0" zoomScale="80" zoomScaleNormal="80" workbookViewId="0">
      <selection activeCell="A32" sqref="A32"/>
    </sheetView>
  </sheetViews>
  <sheetFormatPr baseColWidth="10" defaultColWidth="9.140625" defaultRowHeight="15" x14ac:dyDescent="0.25"/>
  <cols>
    <col min="1" max="1" width="73" style="19" customWidth="1"/>
    <col min="2" max="2" width="44" style="19" hidden="1" customWidth="1"/>
    <col min="3" max="3" width="3.7109375" style="19" customWidth="1"/>
    <col min="4" max="4" width="10.7109375" style="19" customWidth="1"/>
    <col min="5" max="6" width="9.140625" style="19"/>
    <col min="7" max="10" width="10.7109375" style="19" customWidth="1"/>
    <col min="11" max="11" width="8.5703125" style="19" customWidth="1"/>
    <col min="12" max="12" width="11.140625" style="19" customWidth="1"/>
    <col min="13" max="16384" width="9.140625" style="19"/>
  </cols>
  <sheetData>
    <row r="1" spans="1:23" x14ac:dyDescent="0.25">
      <c r="C1" s="20"/>
    </row>
    <row r="2" spans="1:23" ht="20.25" customHeight="1" x14ac:dyDescent="0.25">
      <c r="A2" s="97" t="s">
        <v>128</v>
      </c>
      <c r="B2" s="83" t="s">
        <v>147</v>
      </c>
      <c r="D2" s="100" t="s">
        <v>148</v>
      </c>
      <c r="E2" s="100"/>
      <c r="F2" s="100"/>
      <c r="G2" s="100"/>
      <c r="H2" s="100"/>
      <c r="I2" s="100"/>
      <c r="J2" s="100"/>
      <c r="K2" s="100"/>
      <c r="L2" s="100"/>
    </row>
    <row r="3" spans="1:23" ht="25.5" customHeight="1" x14ac:dyDescent="0.25">
      <c r="A3" s="126"/>
      <c r="D3" s="85">
        <v>2020</v>
      </c>
      <c r="E3" s="85">
        <v>2030</v>
      </c>
      <c r="F3" s="85">
        <v>2050</v>
      </c>
      <c r="G3" s="106" t="s">
        <v>149</v>
      </c>
      <c r="H3" s="107"/>
      <c r="I3" s="106" t="s">
        <v>150</v>
      </c>
      <c r="J3" s="107"/>
      <c r="K3" s="85" t="s">
        <v>153</v>
      </c>
      <c r="L3" s="85" t="s">
        <v>0</v>
      </c>
    </row>
    <row r="4" spans="1:23" ht="18" customHeight="1" x14ac:dyDescent="0.25">
      <c r="A4" s="97" t="s">
        <v>129</v>
      </c>
      <c r="B4" s="86" t="s">
        <v>1</v>
      </c>
      <c r="D4" s="86"/>
      <c r="E4" s="86"/>
      <c r="F4" s="86"/>
      <c r="G4" s="85" t="s">
        <v>151</v>
      </c>
      <c r="H4" s="85" t="s">
        <v>152</v>
      </c>
      <c r="I4" s="85" t="s">
        <v>151</v>
      </c>
      <c r="J4" s="85" t="s">
        <v>152</v>
      </c>
      <c r="K4" s="86"/>
      <c r="L4" s="86"/>
    </row>
    <row r="5" spans="1:23" ht="18" customHeight="1" x14ac:dyDescent="0.25">
      <c r="A5" s="123" t="s">
        <v>130</v>
      </c>
      <c r="B5" s="84" t="s">
        <v>2</v>
      </c>
      <c r="D5" s="102" t="s">
        <v>154</v>
      </c>
      <c r="E5" s="103"/>
      <c r="F5" s="104"/>
      <c r="G5" s="87"/>
      <c r="H5" s="87"/>
      <c r="I5" s="87"/>
      <c r="J5" s="87"/>
      <c r="K5" s="87"/>
      <c r="L5" s="87"/>
    </row>
    <row r="6" spans="1:23" ht="18" customHeight="1" x14ac:dyDescent="0.25">
      <c r="A6" s="122" t="s">
        <v>131</v>
      </c>
      <c r="B6" s="84" t="s">
        <v>3</v>
      </c>
      <c r="D6" s="102" t="s">
        <v>155</v>
      </c>
      <c r="E6" s="103"/>
      <c r="F6" s="104"/>
      <c r="G6" s="87"/>
      <c r="H6" s="87"/>
      <c r="I6" s="87"/>
      <c r="J6" s="87"/>
      <c r="K6" s="87"/>
      <c r="L6" s="87"/>
    </row>
    <row r="7" spans="1:23" ht="18" customHeight="1" x14ac:dyDescent="0.25">
      <c r="A7" s="122" t="s">
        <v>132</v>
      </c>
      <c r="B7" s="84" t="s">
        <v>4</v>
      </c>
      <c r="D7" s="87">
        <v>8500</v>
      </c>
      <c r="E7" s="87">
        <v>8500</v>
      </c>
      <c r="F7" s="87">
        <v>8500</v>
      </c>
      <c r="G7" s="87">
        <f>F7</f>
        <v>8500</v>
      </c>
      <c r="H7" s="87">
        <v>8500</v>
      </c>
      <c r="I7" s="87">
        <v>8500</v>
      </c>
      <c r="J7" s="87">
        <v>8500</v>
      </c>
      <c r="K7" s="87"/>
      <c r="L7" s="87" t="s">
        <v>5</v>
      </c>
      <c r="M7" s="101"/>
      <c r="N7" s="101"/>
      <c r="O7" s="101"/>
      <c r="P7" s="101"/>
      <c r="Q7" s="101"/>
      <c r="R7" s="101"/>
      <c r="S7" s="101"/>
      <c r="T7" s="101"/>
      <c r="U7" s="101"/>
      <c r="V7" s="101"/>
      <c r="W7" s="101"/>
    </row>
    <row r="8" spans="1:23" ht="18" customHeight="1" x14ac:dyDescent="0.25">
      <c r="A8" s="122" t="s">
        <v>133</v>
      </c>
      <c r="B8" s="84" t="s">
        <v>6</v>
      </c>
      <c r="D8" s="87">
        <v>1060</v>
      </c>
      <c r="E8" s="87">
        <v>1060</v>
      </c>
      <c r="F8" s="87">
        <v>1060</v>
      </c>
      <c r="G8" s="87">
        <v>1060</v>
      </c>
      <c r="H8" s="87">
        <v>1060</v>
      </c>
      <c r="I8" s="87">
        <v>1060</v>
      </c>
      <c r="J8" s="87">
        <v>1060</v>
      </c>
      <c r="K8" s="87"/>
      <c r="L8" s="87" t="s">
        <v>5</v>
      </c>
    </row>
    <row r="9" spans="1:23" ht="18" customHeight="1" x14ac:dyDescent="0.25">
      <c r="A9" s="122" t="s">
        <v>134</v>
      </c>
      <c r="B9" s="84" t="s">
        <v>7</v>
      </c>
      <c r="D9" s="87">
        <v>1060</v>
      </c>
      <c r="E9" s="87">
        <v>1060</v>
      </c>
      <c r="F9" s="87">
        <v>1060</v>
      </c>
      <c r="G9" s="87">
        <v>1060</v>
      </c>
      <c r="H9" s="87">
        <v>1060</v>
      </c>
      <c r="I9" s="87">
        <v>1060</v>
      </c>
      <c r="J9" s="87">
        <v>1060</v>
      </c>
      <c r="K9" s="87"/>
      <c r="L9" s="87" t="s">
        <v>5</v>
      </c>
    </row>
    <row r="10" spans="1:23" ht="18" customHeight="1" x14ac:dyDescent="0.25">
      <c r="A10" s="122" t="s">
        <v>156</v>
      </c>
      <c r="B10" s="84" t="s">
        <v>8</v>
      </c>
      <c r="D10" s="88">
        <f>Data!H5</f>
        <v>64.000000000000014</v>
      </c>
      <c r="E10" s="88">
        <f>Data!J5</f>
        <v>70.559999999999988</v>
      </c>
      <c r="F10" s="88">
        <f>Data!K5</f>
        <v>72.249999999999986</v>
      </c>
      <c r="G10" s="88">
        <f>(G11/100)*(G12/100)*100</f>
        <v>55.199999999999996</v>
      </c>
      <c r="H10" s="88">
        <f t="shared" ref="H10:J10" si="0">(H11/100)*(H12/100)*100</f>
        <v>64.000000000000014</v>
      </c>
      <c r="I10" s="88">
        <f t="shared" si="0"/>
        <v>64.000000000000014</v>
      </c>
      <c r="J10" s="88">
        <f t="shared" si="0"/>
        <v>70.559999999999988</v>
      </c>
      <c r="K10" s="87"/>
      <c r="L10" s="87" t="s">
        <v>9</v>
      </c>
    </row>
    <row r="11" spans="1:23" ht="18" customHeight="1" x14ac:dyDescent="0.25">
      <c r="A11" s="124" t="s">
        <v>135</v>
      </c>
      <c r="B11" s="84" t="s">
        <v>127</v>
      </c>
      <c r="D11" s="87">
        <v>80</v>
      </c>
      <c r="E11" s="87">
        <v>84</v>
      </c>
      <c r="F11" s="87">
        <v>85</v>
      </c>
      <c r="G11" s="87">
        <v>80</v>
      </c>
      <c r="H11" s="87">
        <v>80</v>
      </c>
      <c r="I11" s="87">
        <v>80</v>
      </c>
      <c r="J11" s="87">
        <v>84</v>
      </c>
      <c r="K11" s="87"/>
      <c r="L11" s="87" t="s">
        <v>9</v>
      </c>
    </row>
    <row r="12" spans="1:23" ht="18" customHeight="1" x14ac:dyDescent="0.25">
      <c r="A12" s="124" t="s">
        <v>136</v>
      </c>
      <c r="B12" s="89" t="s">
        <v>10</v>
      </c>
      <c r="D12" s="87">
        <v>80</v>
      </c>
      <c r="E12" s="87">
        <v>84</v>
      </c>
      <c r="F12" s="87">
        <v>85</v>
      </c>
      <c r="G12" s="87">
        <v>69</v>
      </c>
      <c r="H12" s="87">
        <v>80</v>
      </c>
      <c r="I12" s="87">
        <v>80</v>
      </c>
      <c r="J12" s="87">
        <v>84</v>
      </c>
      <c r="K12" s="87"/>
      <c r="L12" s="87" t="s">
        <v>9</v>
      </c>
    </row>
    <row r="13" spans="1:23" ht="29.25" customHeight="1" x14ac:dyDescent="0.25">
      <c r="A13" s="122" t="s">
        <v>137</v>
      </c>
      <c r="B13" s="84" t="s">
        <v>11</v>
      </c>
      <c r="D13" s="87">
        <v>0.5</v>
      </c>
      <c r="E13" s="87">
        <v>0.5</v>
      </c>
      <c r="F13" s="87">
        <v>0.5</v>
      </c>
      <c r="G13" s="87">
        <v>0</v>
      </c>
      <c r="H13" s="87">
        <v>0.5</v>
      </c>
      <c r="I13" s="87">
        <v>0</v>
      </c>
      <c r="J13" s="87">
        <v>0.5</v>
      </c>
      <c r="K13" s="87"/>
      <c r="L13" s="87" t="s">
        <v>12</v>
      </c>
    </row>
    <row r="14" spans="1:23" ht="18" customHeight="1" x14ac:dyDescent="0.25">
      <c r="A14" s="122" t="s">
        <v>157</v>
      </c>
      <c r="B14" s="84" t="s">
        <v>13</v>
      </c>
      <c r="D14" s="87"/>
      <c r="E14" s="87"/>
      <c r="F14" s="87"/>
      <c r="G14" s="87"/>
      <c r="H14" s="87"/>
      <c r="I14" s="87"/>
      <c r="J14" s="87"/>
      <c r="K14" s="87"/>
      <c r="L14" s="87"/>
    </row>
    <row r="15" spans="1:23" ht="18" customHeight="1" x14ac:dyDescent="0.25">
      <c r="A15" s="122" t="s">
        <v>138</v>
      </c>
      <c r="B15" s="84" t="s">
        <v>14</v>
      </c>
      <c r="D15" s="87">
        <v>5</v>
      </c>
      <c r="E15" s="87">
        <v>4</v>
      </c>
      <c r="F15" s="87">
        <v>4</v>
      </c>
      <c r="G15" s="87">
        <v>5</v>
      </c>
      <c r="H15" s="87">
        <v>5</v>
      </c>
      <c r="I15" s="87">
        <v>5</v>
      </c>
      <c r="J15" s="87">
        <v>4</v>
      </c>
      <c r="K15" s="87"/>
      <c r="L15" s="87" t="s">
        <v>9</v>
      </c>
    </row>
    <row r="16" spans="1:23" ht="18" customHeight="1" x14ac:dyDescent="0.25">
      <c r="A16" s="122" t="s">
        <v>139</v>
      </c>
      <c r="B16" s="84" t="s">
        <v>15</v>
      </c>
      <c r="D16" s="87">
        <v>5</v>
      </c>
      <c r="E16" s="87">
        <v>4</v>
      </c>
      <c r="F16" s="87">
        <v>3</v>
      </c>
      <c r="G16" s="87">
        <v>5</v>
      </c>
      <c r="H16" s="87">
        <v>5</v>
      </c>
      <c r="I16" s="87">
        <v>5</v>
      </c>
      <c r="J16" s="87">
        <v>4</v>
      </c>
      <c r="K16" s="87"/>
      <c r="L16" s="87" t="s">
        <v>9</v>
      </c>
    </row>
    <row r="17" spans="1:12" ht="18" customHeight="1" x14ac:dyDescent="0.25">
      <c r="A17" s="122" t="s">
        <v>140</v>
      </c>
      <c r="B17" s="84" t="s">
        <v>16</v>
      </c>
      <c r="D17" s="88">
        <v>40</v>
      </c>
      <c r="E17" s="88">
        <v>40</v>
      </c>
      <c r="F17" s="88">
        <v>40</v>
      </c>
      <c r="G17" s="87">
        <v>35</v>
      </c>
      <c r="H17" s="87">
        <v>45</v>
      </c>
      <c r="I17" s="87">
        <v>35</v>
      </c>
      <c r="J17" s="87">
        <v>45</v>
      </c>
      <c r="K17" s="87" t="s">
        <v>163</v>
      </c>
      <c r="L17" s="87" t="s">
        <v>17</v>
      </c>
    </row>
    <row r="18" spans="1:12" ht="18" customHeight="1" x14ac:dyDescent="0.25">
      <c r="A18" s="122" t="s">
        <v>141</v>
      </c>
      <c r="B18" s="84" t="s">
        <v>18</v>
      </c>
      <c r="D18" s="87">
        <v>3</v>
      </c>
      <c r="E18" s="87">
        <v>3</v>
      </c>
      <c r="F18" s="87">
        <v>3</v>
      </c>
      <c r="G18" s="87">
        <v>2</v>
      </c>
      <c r="H18" s="87">
        <v>3</v>
      </c>
      <c r="I18" s="87">
        <v>2</v>
      </c>
      <c r="J18" s="87">
        <v>3</v>
      </c>
      <c r="K18" s="87"/>
      <c r="L18" s="87" t="s">
        <v>9</v>
      </c>
    </row>
    <row r="19" spans="1:12" ht="18" customHeight="1" x14ac:dyDescent="0.25">
      <c r="A19" s="122" t="s">
        <v>158</v>
      </c>
      <c r="B19" s="90" t="s">
        <v>55</v>
      </c>
      <c r="D19" s="87">
        <v>50000</v>
      </c>
      <c r="E19" s="87">
        <v>50000</v>
      </c>
      <c r="F19" s="87">
        <v>50000</v>
      </c>
      <c r="G19" s="87">
        <v>10000</v>
      </c>
      <c r="H19" s="87">
        <v>100000</v>
      </c>
      <c r="I19" s="87">
        <v>10000</v>
      </c>
      <c r="J19" s="87">
        <v>100000</v>
      </c>
      <c r="K19" s="87"/>
      <c r="L19" s="87" t="s">
        <v>5</v>
      </c>
    </row>
    <row r="20" spans="1:12" ht="18" customHeight="1" x14ac:dyDescent="0.25">
      <c r="A20" s="125" t="s">
        <v>142</v>
      </c>
      <c r="B20" s="86" t="s">
        <v>19</v>
      </c>
      <c r="D20" s="86"/>
      <c r="E20" s="86"/>
      <c r="F20" s="86"/>
      <c r="G20" s="86"/>
      <c r="H20" s="86"/>
      <c r="I20" s="86"/>
      <c r="J20" s="86"/>
      <c r="K20" s="86"/>
      <c r="L20" s="86"/>
    </row>
    <row r="21" spans="1:12" ht="18" customHeight="1" x14ac:dyDescent="0.25">
      <c r="A21" s="122" t="s">
        <v>160</v>
      </c>
      <c r="B21" s="84" t="s">
        <v>20</v>
      </c>
      <c r="D21" s="87">
        <v>700</v>
      </c>
      <c r="E21" s="87">
        <v>1000</v>
      </c>
      <c r="F21" s="87">
        <v>1000</v>
      </c>
      <c r="G21" s="87">
        <v>500</v>
      </c>
      <c r="H21" s="87">
        <v>1000</v>
      </c>
      <c r="I21" s="88">
        <v>740</v>
      </c>
      <c r="J21" s="88">
        <v>1350</v>
      </c>
      <c r="K21" s="87" t="s">
        <v>76</v>
      </c>
      <c r="L21" s="87" t="s">
        <v>9</v>
      </c>
    </row>
    <row r="22" spans="1:12" ht="18" customHeight="1" x14ac:dyDescent="0.25">
      <c r="A22" s="122" t="s">
        <v>159</v>
      </c>
      <c r="B22" s="84" t="s">
        <v>22</v>
      </c>
      <c r="D22" s="87"/>
      <c r="E22" s="87"/>
      <c r="F22" s="91"/>
      <c r="G22" s="84"/>
      <c r="H22" s="87"/>
      <c r="I22" s="87"/>
      <c r="J22" s="87"/>
      <c r="K22" s="87"/>
      <c r="L22" s="87"/>
    </row>
    <row r="23" spans="1:12" ht="18" customHeight="1" x14ac:dyDescent="0.3">
      <c r="A23" s="120"/>
      <c r="B23" s="84"/>
      <c r="D23" s="87"/>
      <c r="E23" s="87"/>
      <c r="F23" s="87"/>
      <c r="G23" s="87"/>
      <c r="H23" s="87"/>
      <c r="I23" s="87"/>
      <c r="J23" s="87"/>
      <c r="K23" s="87"/>
      <c r="L23" s="87"/>
    </row>
    <row r="24" spans="1:12" ht="18" customHeight="1" x14ac:dyDescent="0.25">
      <c r="A24" s="125" t="s">
        <v>143</v>
      </c>
      <c r="B24" s="96" t="s">
        <v>23</v>
      </c>
      <c r="D24" s="96"/>
      <c r="E24" s="96"/>
      <c r="F24" s="96"/>
      <c r="G24" s="96"/>
      <c r="H24" s="96"/>
      <c r="I24" s="96"/>
      <c r="J24" s="96"/>
      <c r="K24" s="96"/>
      <c r="L24" s="96"/>
    </row>
    <row r="25" spans="1:12" ht="18" customHeight="1" x14ac:dyDescent="0.25">
      <c r="A25" s="122" t="s">
        <v>162</v>
      </c>
      <c r="B25" s="84" t="s">
        <v>24</v>
      </c>
      <c r="D25" s="92">
        <f>((D26+D28)*D7+D27*D8)/D7</f>
        <v>0.23839529411764707</v>
      </c>
      <c r="E25" s="92">
        <f t="shared" ref="E25:J25" si="1">((E26+E28)*E7+E27*E8)/E7</f>
        <v>0.22367105882352939</v>
      </c>
      <c r="F25" s="92">
        <f t="shared" si="1"/>
        <v>0.20592389669555419</v>
      </c>
      <c r="G25" s="92">
        <f t="shared" si="1"/>
        <v>0.13627764705882353</v>
      </c>
      <c r="H25" s="92">
        <f t="shared" si="1"/>
        <v>0.27836941176470587</v>
      </c>
      <c r="I25" s="92">
        <f t="shared" si="1"/>
        <v>0.13166352941176468</v>
      </c>
      <c r="J25" s="92">
        <f t="shared" si="1"/>
        <v>0.26014823529411762</v>
      </c>
      <c r="K25" s="87"/>
      <c r="L25" s="87" t="s">
        <v>5</v>
      </c>
    </row>
    <row r="26" spans="1:12" ht="18" customHeight="1" x14ac:dyDescent="0.25">
      <c r="A26" s="122" t="s">
        <v>220</v>
      </c>
      <c r="B26" s="84" t="s">
        <v>25</v>
      </c>
      <c r="D26" s="93">
        <v>4.8000000000000001E-2</v>
      </c>
      <c r="E26" s="92">
        <v>4.4200000000000003E-2</v>
      </c>
      <c r="F26" s="92">
        <v>3.435682385143083E-2</v>
      </c>
      <c r="G26" s="93">
        <v>2E-3</v>
      </c>
      <c r="H26" s="93">
        <v>7.6999999999999999E-2</v>
      </c>
      <c r="I26" s="93">
        <v>2E-3</v>
      </c>
      <c r="J26" s="93">
        <v>7.0999999999999994E-2</v>
      </c>
      <c r="K26" s="87" t="s">
        <v>26</v>
      </c>
      <c r="L26" s="87" t="s">
        <v>5</v>
      </c>
    </row>
    <row r="27" spans="1:12" ht="18" customHeight="1" x14ac:dyDescent="0.25">
      <c r="A27" s="122" t="s">
        <v>221</v>
      </c>
      <c r="B27" s="84" t="s">
        <v>27</v>
      </c>
      <c r="D27" s="92">
        <v>0.78100000000000003</v>
      </c>
      <c r="E27" s="92">
        <f>Data!J16</f>
        <v>0.69340000000000002</v>
      </c>
      <c r="F27" s="92">
        <f>Data!F37</f>
        <v>0.63001898035381954</v>
      </c>
      <c r="G27" s="93">
        <v>0.33100000000000002</v>
      </c>
      <c r="H27" s="93">
        <v>0.86899999999999999</v>
      </c>
      <c r="I27" s="93">
        <v>0.29399999999999998</v>
      </c>
      <c r="J27" s="93">
        <v>0.77100000000000002</v>
      </c>
      <c r="K27" s="87" t="s">
        <v>28</v>
      </c>
      <c r="L27" s="87" t="s">
        <v>5</v>
      </c>
    </row>
    <row r="28" spans="1:12" ht="18" customHeight="1" x14ac:dyDescent="0.25">
      <c r="A28" s="122" t="s">
        <v>184</v>
      </c>
      <c r="B28" s="84" t="s">
        <v>29</v>
      </c>
      <c r="D28" s="93">
        <v>9.2999999999999999E-2</v>
      </c>
      <c r="E28" s="93">
        <v>9.2999999999999999E-2</v>
      </c>
      <c r="F28" s="93">
        <v>9.2999999999999999E-2</v>
      </c>
      <c r="G28" s="93">
        <v>9.2999999999999999E-2</v>
      </c>
      <c r="H28" s="93">
        <v>9.2999999999999999E-2</v>
      </c>
      <c r="I28" s="93">
        <v>9.2999999999999999E-2</v>
      </c>
      <c r="J28" s="93">
        <v>9.2999999999999999E-2</v>
      </c>
      <c r="K28" s="87"/>
      <c r="L28" s="87" t="s">
        <v>30</v>
      </c>
    </row>
    <row r="29" spans="1:12" ht="18" customHeight="1" x14ac:dyDescent="0.25">
      <c r="A29" s="122" t="s">
        <v>144</v>
      </c>
      <c r="B29" s="84" t="s">
        <v>54</v>
      </c>
      <c r="D29" s="94">
        <v>2.73</v>
      </c>
      <c r="E29" s="94">
        <v>2.73</v>
      </c>
      <c r="F29" s="94">
        <v>2.73</v>
      </c>
      <c r="G29" s="95">
        <v>2.2200000000000002</v>
      </c>
      <c r="H29" s="95">
        <v>4.4400000000000004</v>
      </c>
      <c r="I29" s="95">
        <v>2.2200000000000002</v>
      </c>
      <c r="J29" s="95">
        <v>4.4400000000000004</v>
      </c>
      <c r="K29" s="87"/>
      <c r="L29" s="87" t="s">
        <v>9</v>
      </c>
    </row>
    <row r="30" spans="1:12" ht="18" customHeight="1" x14ac:dyDescent="0.25">
      <c r="A30" s="122" t="s">
        <v>161</v>
      </c>
      <c r="B30" s="84" t="s">
        <v>32</v>
      </c>
      <c r="D30" s="94">
        <v>2.73</v>
      </c>
      <c r="E30" s="94">
        <v>2.73</v>
      </c>
      <c r="F30" s="94">
        <v>2.73</v>
      </c>
      <c r="G30" s="95">
        <v>2.2200000000000002</v>
      </c>
      <c r="H30" s="95">
        <v>3.3</v>
      </c>
      <c r="I30" s="95">
        <v>2.2000000000000002</v>
      </c>
      <c r="J30" s="95">
        <v>3.3</v>
      </c>
      <c r="K30" s="87" t="s">
        <v>33</v>
      </c>
      <c r="L30" s="87" t="s">
        <v>9</v>
      </c>
    </row>
    <row r="31" spans="1:12" ht="18" customHeight="1" x14ac:dyDescent="0.25">
      <c r="A31" s="122"/>
      <c r="B31" s="84"/>
      <c r="D31" s="87"/>
      <c r="E31" s="87"/>
      <c r="F31" s="87"/>
      <c r="G31" s="87"/>
      <c r="H31" s="87"/>
      <c r="I31" s="87"/>
      <c r="J31" s="87"/>
      <c r="K31" s="87"/>
      <c r="L31" s="87"/>
    </row>
    <row r="32" spans="1:12" ht="18" customHeight="1" x14ac:dyDescent="0.25">
      <c r="A32" s="125" t="s">
        <v>145</v>
      </c>
      <c r="B32" s="96" t="s">
        <v>34</v>
      </c>
      <c r="D32" s="96"/>
      <c r="E32" s="96"/>
      <c r="F32" s="96"/>
      <c r="G32" s="96"/>
      <c r="H32" s="96"/>
      <c r="I32" s="96"/>
      <c r="J32" s="96"/>
      <c r="K32" s="96"/>
      <c r="L32" s="96"/>
    </row>
    <row r="33" spans="1:24" ht="18" customHeight="1" x14ac:dyDescent="0.25">
      <c r="A33" s="122" t="s">
        <v>146</v>
      </c>
      <c r="B33" s="84" t="s">
        <v>35</v>
      </c>
      <c r="D33" s="92">
        <f>((D26+D28)*D7+D27*D8)/D8</f>
        <v>1.9116603773584906</v>
      </c>
      <c r="E33" s="92">
        <f t="shared" ref="E33:I33" si="2">((E26+E28)*E7+E27*E8)/E8</f>
        <v>1.7935886792452829</v>
      </c>
      <c r="F33" s="92">
        <f>((F26+F28)*F7+F27*F8)/F8</f>
        <v>1.651276530105859</v>
      </c>
      <c r="G33" s="92">
        <f t="shared" si="2"/>
        <v>1.0927924528301889</v>
      </c>
      <c r="H33" s="92">
        <f t="shared" si="2"/>
        <v>2.2322075471698111</v>
      </c>
      <c r="I33" s="92">
        <f t="shared" si="2"/>
        <v>1.0557924528301885</v>
      </c>
      <c r="J33" s="92">
        <f>((J26+J28)*J7+J27*J8)/J8</f>
        <v>2.0860943396226412</v>
      </c>
      <c r="K33" s="87"/>
      <c r="L33" s="87" t="s">
        <v>5</v>
      </c>
    </row>
    <row r="34" spans="1:24" x14ac:dyDescent="0.25">
      <c r="B34" s="21"/>
      <c r="C34" s="22"/>
      <c r="D34" s="23"/>
      <c r="E34" s="23"/>
      <c r="F34" s="23"/>
      <c r="G34" s="23"/>
      <c r="H34" s="23"/>
      <c r="I34" s="23"/>
      <c r="J34" s="23"/>
      <c r="K34" s="23"/>
      <c r="L34" s="23"/>
    </row>
    <row r="35" spans="1:24" ht="20.25" x14ac:dyDescent="0.35">
      <c r="D35" s="121" t="s">
        <v>164</v>
      </c>
      <c r="E35" s="24"/>
      <c r="F35" s="24"/>
      <c r="G35" s="24"/>
      <c r="H35" s="24"/>
      <c r="I35" s="24"/>
      <c r="J35" s="24"/>
      <c r="K35" s="24"/>
      <c r="L35" s="24"/>
      <c r="M35" s="25"/>
      <c r="N35" s="25"/>
      <c r="O35" s="25"/>
      <c r="P35" s="25"/>
      <c r="Q35" s="25"/>
      <c r="R35" s="25"/>
      <c r="S35" s="25"/>
      <c r="T35" s="25"/>
      <c r="U35" s="25"/>
      <c r="V35" s="25"/>
      <c r="W35" s="25"/>
      <c r="X35" s="25"/>
    </row>
    <row r="36" spans="1:24" ht="18.75" x14ac:dyDescent="0.35">
      <c r="B36" s="26"/>
      <c r="C36" s="27" t="s">
        <v>37</v>
      </c>
      <c r="D36" s="10" t="s">
        <v>166</v>
      </c>
      <c r="E36" s="28"/>
      <c r="F36" s="29"/>
      <c r="G36" s="29"/>
      <c r="H36" s="29"/>
      <c r="I36" s="29"/>
      <c r="J36" s="29"/>
      <c r="K36" s="29"/>
      <c r="L36" s="29"/>
      <c r="M36" s="29"/>
      <c r="N36" s="25"/>
      <c r="O36" s="25"/>
      <c r="P36" s="25"/>
      <c r="Q36" s="25"/>
      <c r="R36" s="25"/>
      <c r="S36" s="25"/>
      <c r="T36" s="25"/>
      <c r="U36" s="25"/>
      <c r="V36" s="25"/>
      <c r="W36" s="25"/>
      <c r="X36" s="25"/>
    </row>
    <row r="37" spans="1:24" ht="18" x14ac:dyDescent="0.35">
      <c r="B37" s="26"/>
      <c r="C37" s="27" t="s">
        <v>26</v>
      </c>
      <c r="D37" s="10" t="s">
        <v>167</v>
      </c>
      <c r="E37" s="30"/>
      <c r="F37" s="31"/>
      <c r="G37" s="31"/>
      <c r="H37" s="31"/>
      <c r="I37" s="31"/>
      <c r="J37" s="31"/>
      <c r="K37" s="31"/>
      <c r="L37" s="31"/>
      <c r="M37" s="25"/>
      <c r="N37" s="25"/>
      <c r="O37" s="25"/>
      <c r="P37" s="25"/>
      <c r="Q37" s="25"/>
      <c r="R37" s="25"/>
      <c r="S37" s="25"/>
      <c r="T37" s="25"/>
      <c r="U37" s="25"/>
      <c r="V37" s="25"/>
      <c r="W37" s="25"/>
      <c r="X37" s="25"/>
    </row>
    <row r="38" spans="1:24" ht="18" x14ac:dyDescent="0.35">
      <c r="C38" s="27" t="s">
        <v>28</v>
      </c>
      <c r="D38" s="10" t="s">
        <v>169</v>
      </c>
      <c r="E38" s="32"/>
      <c r="F38" s="25"/>
      <c r="G38" s="25"/>
      <c r="H38" s="25"/>
      <c r="I38" s="31"/>
      <c r="J38" s="31"/>
      <c r="K38" s="31"/>
      <c r="L38" s="31"/>
      <c r="M38" s="31"/>
      <c r="N38" s="25"/>
      <c r="O38" s="25"/>
      <c r="P38" s="25"/>
      <c r="Q38" s="25"/>
      <c r="R38" s="25"/>
      <c r="S38" s="25"/>
      <c r="T38" s="25"/>
      <c r="U38" s="25"/>
      <c r="V38" s="25"/>
      <c r="W38" s="25"/>
      <c r="X38" s="25"/>
    </row>
    <row r="39" spans="1:24" ht="18" x14ac:dyDescent="0.35">
      <c r="C39" s="27" t="s">
        <v>31</v>
      </c>
      <c r="D39" s="10" t="s">
        <v>168</v>
      </c>
      <c r="E39" s="32"/>
      <c r="F39" s="25"/>
      <c r="G39" s="25"/>
      <c r="H39" s="25"/>
      <c r="I39" s="31"/>
      <c r="J39" s="31"/>
      <c r="K39" s="31"/>
      <c r="L39" s="31"/>
      <c r="M39" s="31"/>
      <c r="N39" s="25"/>
      <c r="O39" s="25"/>
      <c r="P39" s="25"/>
      <c r="Q39" s="25"/>
      <c r="R39" s="25"/>
      <c r="S39" s="25"/>
      <c r="T39" s="25"/>
      <c r="U39" s="25"/>
      <c r="V39" s="25"/>
      <c r="W39" s="25"/>
      <c r="X39" s="25"/>
    </row>
    <row r="40" spans="1:24" ht="18" x14ac:dyDescent="0.35">
      <c r="C40" s="27" t="s">
        <v>33</v>
      </c>
      <c r="D40" s="10" t="s">
        <v>170</v>
      </c>
      <c r="E40" s="32"/>
      <c r="F40" s="25"/>
      <c r="G40" s="25"/>
      <c r="H40" s="25"/>
      <c r="I40" s="31"/>
      <c r="J40" s="31"/>
      <c r="K40" s="31"/>
      <c r="L40" s="31"/>
      <c r="M40" s="31"/>
      <c r="N40" s="25"/>
      <c r="O40" s="25"/>
      <c r="P40" s="25"/>
      <c r="Q40" s="25"/>
      <c r="R40" s="25"/>
      <c r="S40" s="25"/>
      <c r="T40" s="25"/>
      <c r="U40" s="25"/>
      <c r="V40" s="25"/>
      <c r="W40" s="25"/>
      <c r="X40" s="25"/>
    </row>
    <row r="41" spans="1:24" ht="18" x14ac:dyDescent="0.35">
      <c r="C41" s="27" t="s">
        <v>36</v>
      </c>
      <c r="D41" s="10" t="s">
        <v>171</v>
      </c>
      <c r="E41" s="32"/>
      <c r="F41" s="25"/>
      <c r="G41" s="25"/>
      <c r="H41" s="25"/>
      <c r="I41" s="31"/>
      <c r="J41" s="31"/>
      <c r="K41" s="31"/>
      <c r="L41" s="31"/>
      <c r="M41" s="31"/>
      <c r="N41" s="25"/>
      <c r="O41" s="25"/>
      <c r="P41" s="25"/>
      <c r="Q41" s="25"/>
      <c r="R41" s="25"/>
      <c r="S41" s="25"/>
      <c r="T41" s="25"/>
      <c r="U41" s="25"/>
      <c r="V41" s="25"/>
      <c r="W41" s="25"/>
      <c r="X41" s="25"/>
    </row>
    <row r="42" spans="1:24" ht="18" x14ac:dyDescent="0.35">
      <c r="C42" s="27" t="s">
        <v>21</v>
      </c>
      <c r="D42" s="10" t="s">
        <v>172</v>
      </c>
      <c r="E42" s="32"/>
      <c r="F42" s="25"/>
      <c r="G42" s="25"/>
      <c r="H42" s="25"/>
      <c r="I42" s="31"/>
      <c r="J42" s="31"/>
      <c r="K42" s="31"/>
      <c r="L42" s="31"/>
      <c r="M42" s="31"/>
      <c r="N42" s="25"/>
      <c r="O42" s="25"/>
      <c r="P42" s="25"/>
      <c r="Q42" s="25"/>
      <c r="R42" s="25"/>
      <c r="S42" s="25"/>
      <c r="T42" s="25"/>
      <c r="U42" s="25"/>
      <c r="V42" s="25"/>
      <c r="W42" s="25"/>
      <c r="X42" s="25"/>
    </row>
    <row r="43" spans="1:24" ht="18" x14ac:dyDescent="0.35">
      <c r="C43" s="25"/>
      <c r="D43" s="25"/>
      <c r="E43" s="31"/>
      <c r="F43" s="31"/>
      <c r="G43" s="31"/>
      <c r="H43" s="31"/>
      <c r="I43" s="31"/>
      <c r="J43" s="31"/>
      <c r="K43" s="31"/>
      <c r="L43" s="31"/>
      <c r="M43" s="31"/>
      <c r="N43" s="25"/>
      <c r="O43" s="25"/>
      <c r="P43" s="25"/>
      <c r="Q43" s="25"/>
      <c r="R43" s="25"/>
      <c r="S43" s="25"/>
      <c r="T43" s="25"/>
      <c r="U43" s="25"/>
      <c r="V43" s="25"/>
      <c r="W43" s="25"/>
      <c r="X43" s="25"/>
    </row>
    <row r="44" spans="1:24" ht="20.25" x14ac:dyDescent="0.35">
      <c r="B44" s="26"/>
      <c r="D44" s="121" t="s">
        <v>165</v>
      </c>
      <c r="E44" s="31"/>
      <c r="F44" s="31"/>
      <c r="G44" s="31"/>
      <c r="H44" s="31"/>
      <c r="I44" s="31"/>
      <c r="J44" s="31"/>
      <c r="K44" s="31"/>
      <c r="L44" s="31"/>
      <c r="M44" s="25"/>
      <c r="N44" s="25"/>
      <c r="O44" s="25"/>
      <c r="P44" s="25"/>
      <c r="Q44" s="25"/>
      <c r="R44" s="25"/>
      <c r="S44" s="25"/>
      <c r="T44" s="25"/>
      <c r="U44" s="25"/>
      <c r="V44" s="25"/>
      <c r="W44" s="25"/>
      <c r="X44" s="25"/>
    </row>
    <row r="45" spans="1:24" ht="18" x14ac:dyDescent="0.35">
      <c r="B45" s="26"/>
      <c r="C45" s="27" t="s">
        <v>5</v>
      </c>
      <c r="D45" s="10" t="s">
        <v>38</v>
      </c>
      <c r="E45" s="30"/>
      <c r="F45" s="30"/>
      <c r="G45" s="30"/>
      <c r="H45" s="30"/>
      <c r="I45" s="30"/>
      <c r="J45" s="30"/>
      <c r="K45" s="31"/>
      <c r="L45" s="31"/>
      <c r="M45" s="25"/>
      <c r="N45" s="25"/>
      <c r="O45" s="25"/>
      <c r="P45" s="25"/>
      <c r="Q45" s="25"/>
      <c r="R45" s="25"/>
      <c r="S45" s="25"/>
      <c r="T45" s="25"/>
      <c r="U45" s="25"/>
      <c r="V45" s="25"/>
      <c r="W45" s="25"/>
      <c r="X45" s="25"/>
    </row>
    <row r="46" spans="1:24" ht="18" x14ac:dyDescent="0.35">
      <c r="B46" s="26"/>
      <c r="C46" s="27" t="s">
        <v>39</v>
      </c>
      <c r="D46" s="30" t="s">
        <v>40</v>
      </c>
      <c r="E46" s="30"/>
      <c r="F46" s="30"/>
      <c r="G46" s="30"/>
      <c r="H46" s="30"/>
      <c r="I46" s="30"/>
      <c r="J46" s="30"/>
      <c r="K46" s="31"/>
      <c r="L46" s="31"/>
      <c r="M46" s="25"/>
      <c r="N46" s="25"/>
      <c r="O46" s="25"/>
      <c r="P46" s="25"/>
      <c r="Q46" s="25"/>
      <c r="R46" s="25"/>
      <c r="S46" s="25"/>
      <c r="T46" s="25"/>
      <c r="U46" s="25"/>
      <c r="V46" s="25"/>
      <c r="W46" s="25"/>
      <c r="X46" s="25"/>
    </row>
    <row r="47" spans="1:24" ht="18" x14ac:dyDescent="0.35">
      <c r="B47" s="21"/>
      <c r="C47" s="27" t="s">
        <v>9</v>
      </c>
      <c r="D47" s="30" t="s">
        <v>41</v>
      </c>
      <c r="E47" s="30"/>
      <c r="F47" s="30"/>
      <c r="G47" s="30"/>
      <c r="H47" s="30"/>
      <c r="I47" s="33"/>
      <c r="J47" s="33"/>
      <c r="K47" s="24"/>
      <c r="L47" s="24"/>
      <c r="M47" s="25"/>
      <c r="N47" s="25"/>
      <c r="O47" s="25"/>
      <c r="P47" s="25"/>
      <c r="Q47" s="25"/>
      <c r="R47" s="25"/>
      <c r="S47" s="25"/>
      <c r="T47" s="25"/>
      <c r="U47" s="25"/>
      <c r="V47" s="25"/>
      <c r="W47" s="25"/>
      <c r="X47" s="25"/>
    </row>
    <row r="48" spans="1:24" ht="18" x14ac:dyDescent="0.35">
      <c r="C48" s="27" t="s">
        <v>42</v>
      </c>
      <c r="D48" s="30" t="s">
        <v>43</v>
      </c>
      <c r="E48" s="30"/>
      <c r="F48" s="30"/>
      <c r="G48" s="30"/>
      <c r="H48" s="30"/>
      <c r="I48" s="32"/>
      <c r="J48" s="32"/>
      <c r="K48" s="25"/>
      <c r="L48" s="25"/>
      <c r="M48" s="25"/>
      <c r="N48" s="25"/>
      <c r="O48" s="25"/>
      <c r="P48" s="25"/>
      <c r="Q48" s="25"/>
      <c r="R48" s="25"/>
      <c r="S48" s="25"/>
      <c r="T48" s="25"/>
      <c r="U48" s="25"/>
      <c r="V48" s="25"/>
      <c r="W48" s="25"/>
      <c r="X48" s="25"/>
    </row>
    <row r="49" spans="2:24" ht="18" x14ac:dyDescent="0.35">
      <c r="B49" s="21"/>
      <c r="C49" s="27" t="s">
        <v>44</v>
      </c>
      <c r="D49" s="30" t="s">
        <v>45</v>
      </c>
      <c r="E49" s="30"/>
      <c r="F49" s="30"/>
      <c r="G49" s="30"/>
      <c r="H49" s="30"/>
      <c r="I49" s="34"/>
      <c r="J49" s="32"/>
      <c r="K49" s="25"/>
      <c r="L49" s="25"/>
      <c r="M49" s="25"/>
      <c r="N49" s="25"/>
      <c r="O49" s="25"/>
      <c r="P49" s="25"/>
      <c r="Q49" s="25"/>
      <c r="R49" s="25"/>
      <c r="S49" s="25"/>
      <c r="T49" s="25"/>
      <c r="U49" s="25"/>
      <c r="V49" s="25"/>
      <c r="W49" s="25"/>
      <c r="X49" s="25"/>
    </row>
    <row r="50" spans="2:24" ht="18" x14ac:dyDescent="0.35">
      <c r="B50" s="21"/>
      <c r="C50" s="27" t="s">
        <v>46</v>
      </c>
      <c r="D50" s="30" t="s">
        <v>47</v>
      </c>
      <c r="E50" s="30"/>
      <c r="F50" s="30"/>
      <c r="G50" s="30"/>
      <c r="H50" s="30"/>
      <c r="I50" s="32"/>
      <c r="J50" s="32"/>
      <c r="K50" s="25"/>
      <c r="L50" s="25"/>
      <c r="M50" s="25"/>
      <c r="N50" s="25"/>
      <c r="O50" s="25"/>
      <c r="P50" s="25"/>
      <c r="Q50" s="25"/>
      <c r="R50" s="25"/>
      <c r="S50" s="25"/>
      <c r="T50" s="25"/>
      <c r="U50" s="25"/>
      <c r="V50" s="25"/>
      <c r="W50" s="25"/>
      <c r="X50" s="25"/>
    </row>
    <row r="51" spans="2:24" ht="18" x14ac:dyDescent="0.35">
      <c r="B51" s="21"/>
      <c r="C51" s="35" t="s">
        <v>48</v>
      </c>
      <c r="D51" s="30" t="s">
        <v>88</v>
      </c>
      <c r="E51" s="33"/>
      <c r="F51" s="33"/>
      <c r="G51" s="33"/>
      <c r="H51" s="33"/>
      <c r="I51" s="32"/>
      <c r="J51" s="32"/>
      <c r="K51" s="25"/>
      <c r="L51" s="25"/>
      <c r="M51" s="25"/>
      <c r="N51" s="25"/>
      <c r="O51" s="25"/>
      <c r="P51" s="25"/>
      <c r="Q51" s="25"/>
      <c r="R51" s="25"/>
      <c r="S51" s="25"/>
      <c r="T51" s="25"/>
      <c r="U51" s="25"/>
      <c r="V51" s="25"/>
      <c r="W51" s="25"/>
      <c r="X51" s="25"/>
    </row>
    <row r="52" spans="2:24" ht="18" x14ac:dyDescent="0.35">
      <c r="B52" s="21"/>
      <c r="C52" s="35" t="s">
        <v>49</v>
      </c>
      <c r="D52" s="30" t="s">
        <v>89</v>
      </c>
      <c r="E52" s="36"/>
      <c r="F52" s="36"/>
      <c r="G52" s="36"/>
      <c r="H52" s="36"/>
      <c r="I52" s="32"/>
      <c r="J52" s="32"/>
      <c r="K52" s="25"/>
      <c r="L52" s="25"/>
      <c r="M52" s="25"/>
      <c r="N52" s="25"/>
      <c r="O52" s="25"/>
      <c r="P52" s="25"/>
      <c r="Q52" s="25"/>
      <c r="R52" s="25"/>
      <c r="S52" s="25"/>
      <c r="T52" s="25"/>
      <c r="U52" s="25"/>
      <c r="V52" s="25"/>
      <c r="W52" s="25"/>
      <c r="X52" s="25"/>
    </row>
    <row r="53" spans="2:24" ht="18" x14ac:dyDescent="0.35">
      <c r="B53" s="21"/>
      <c r="C53" s="35" t="s">
        <v>30</v>
      </c>
      <c r="D53" s="30" t="s">
        <v>50</v>
      </c>
      <c r="E53" s="34"/>
      <c r="F53" s="34"/>
      <c r="G53" s="34"/>
      <c r="H53" s="34"/>
      <c r="I53" s="32"/>
      <c r="J53" s="32"/>
      <c r="K53" s="25"/>
      <c r="L53" s="25"/>
      <c r="M53" s="25"/>
      <c r="N53" s="25"/>
      <c r="O53" s="25"/>
      <c r="P53" s="25"/>
      <c r="Q53" s="25"/>
      <c r="R53" s="25"/>
      <c r="S53" s="25"/>
      <c r="T53" s="25"/>
      <c r="U53" s="25"/>
      <c r="V53" s="25"/>
      <c r="W53" s="25"/>
      <c r="X53" s="25"/>
    </row>
    <row r="54" spans="2:24" ht="18" x14ac:dyDescent="0.35">
      <c r="B54" s="21"/>
      <c r="C54" s="35" t="s">
        <v>51</v>
      </c>
      <c r="D54" s="30" t="s">
        <v>90</v>
      </c>
      <c r="E54" s="34"/>
      <c r="F54" s="34"/>
      <c r="G54" s="34"/>
      <c r="H54" s="34"/>
      <c r="I54" s="32"/>
      <c r="J54" s="32"/>
      <c r="K54" s="25"/>
      <c r="L54" s="25"/>
      <c r="M54" s="25"/>
      <c r="N54" s="25"/>
      <c r="O54" s="25"/>
      <c r="P54" s="25"/>
      <c r="Q54" s="25"/>
      <c r="R54" s="25"/>
      <c r="S54" s="25"/>
      <c r="T54" s="25"/>
      <c r="U54" s="25"/>
      <c r="V54" s="25"/>
      <c r="W54" s="25"/>
      <c r="X54" s="25"/>
    </row>
    <row r="55" spans="2:24" ht="18" x14ac:dyDescent="0.35">
      <c r="B55" s="21"/>
      <c r="C55" s="9" t="s">
        <v>87</v>
      </c>
      <c r="D55" s="37" t="s">
        <v>91</v>
      </c>
      <c r="E55" s="34"/>
      <c r="F55" s="34"/>
      <c r="G55" s="34"/>
      <c r="H55" s="34"/>
      <c r="I55" s="32"/>
      <c r="J55" s="32"/>
      <c r="K55" s="25"/>
      <c r="L55" s="25"/>
      <c r="M55" s="25"/>
      <c r="N55" s="25"/>
      <c r="O55" s="25"/>
      <c r="P55" s="25"/>
      <c r="Q55" s="25"/>
      <c r="R55" s="25"/>
      <c r="S55" s="25"/>
      <c r="T55" s="25"/>
      <c r="U55" s="25"/>
      <c r="V55" s="25"/>
      <c r="W55" s="25"/>
      <c r="X55" s="25"/>
    </row>
    <row r="56" spans="2:24" x14ac:dyDescent="0.25">
      <c r="B56" s="21"/>
      <c r="C56" s="105"/>
      <c r="D56" s="105"/>
      <c r="E56" s="105"/>
      <c r="F56" s="105"/>
      <c r="G56" s="105"/>
      <c r="H56" s="105"/>
    </row>
    <row r="57" spans="2:24" x14ac:dyDescent="0.25">
      <c r="B57" s="21"/>
      <c r="C57" s="105"/>
      <c r="D57" s="105"/>
      <c r="E57" s="105"/>
      <c r="F57" s="105"/>
      <c r="G57" s="105"/>
      <c r="H57" s="105"/>
    </row>
    <row r="58" spans="2:24" x14ac:dyDescent="0.25">
      <c r="B58" s="21"/>
      <c r="C58" s="105"/>
      <c r="D58" s="105"/>
      <c r="E58" s="105"/>
      <c r="F58" s="105"/>
      <c r="G58" s="105"/>
      <c r="H58" s="105"/>
    </row>
    <row r="59" spans="2:24" x14ac:dyDescent="0.25">
      <c r="B59" s="21"/>
      <c r="C59" s="105"/>
      <c r="D59" s="105"/>
      <c r="E59" s="105"/>
      <c r="F59" s="105"/>
      <c r="G59" s="105"/>
      <c r="H59" s="105"/>
    </row>
    <row r="60" spans="2:24" x14ac:dyDescent="0.25">
      <c r="B60" s="21"/>
      <c r="C60" s="105"/>
      <c r="D60" s="105"/>
      <c r="E60" s="105"/>
      <c r="F60" s="105"/>
      <c r="G60" s="105"/>
      <c r="H60" s="105"/>
    </row>
    <row r="61" spans="2:24" x14ac:dyDescent="0.25">
      <c r="B61" s="21"/>
      <c r="C61" s="105"/>
      <c r="D61" s="105"/>
      <c r="E61" s="105"/>
      <c r="F61" s="105"/>
      <c r="G61" s="105"/>
      <c r="H61" s="105"/>
    </row>
    <row r="62" spans="2:24" x14ac:dyDescent="0.25">
      <c r="B62" s="21"/>
      <c r="C62" s="105"/>
      <c r="D62" s="105"/>
      <c r="E62" s="105"/>
      <c r="F62" s="105"/>
      <c r="G62" s="105"/>
      <c r="H62" s="105"/>
    </row>
    <row r="63" spans="2:24" x14ac:dyDescent="0.25">
      <c r="B63" s="21"/>
      <c r="C63" s="105"/>
      <c r="D63" s="105"/>
      <c r="E63" s="105"/>
      <c r="F63" s="105"/>
      <c r="G63" s="105"/>
      <c r="H63" s="105"/>
    </row>
    <row r="64" spans="2:24" x14ac:dyDescent="0.25">
      <c r="B64" s="21"/>
      <c r="C64" s="105"/>
      <c r="D64" s="105"/>
      <c r="E64" s="105"/>
      <c r="F64" s="105"/>
      <c r="G64" s="105"/>
      <c r="H64" s="105"/>
    </row>
    <row r="65" spans="2:8" x14ac:dyDescent="0.25">
      <c r="B65" s="21"/>
      <c r="C65" s="105"/>
      <c r="D65" s="105"/>
      <c r="E65" s="105"/>
      <c r="F65" s="105"/>
      <c r="G65" s="105"/>
      <c r="H65" s="105"/>
    </row>
    <row r="66" spans="2:8" x14ac:dyDescent="0.25">
      <c r="B66" s="21"/>
      <c r="C66" s="105"/>
      <c r="D66" s="105"/>
      <c r="E66" s="105"/>
      <c r="F66" s="105"/>
      <c r="G66" s="105"/>
      <c r="H66" s="105"/>
    </row>
    <row r="67" spans="2:8" x14ac:dyDescent="0.25">
      <c r="B67" s="21"/>
      <c r="C67" s="105"/>
      <c r="D67" s="105"/>
      <c r="E67" s="105"/>
      <c r="F67" s="105"/>
      <c r="G67" s="105"/>
      <c r="H67" s="105"/>
    </row>
    <row r="68" spans="2:8" x14ac:dyDescent="0.25">
      <c r="B68" s="21"/>
      <c r="C68" s="105"/>
      <c r="D68" s="105"/>
      <c r="E68" s="105"/>
      <c r="F68" s="105"/>
      <c r="G68" s="105"/>
      <c r="H68" s="105"/>
    </row>
    <row r="69" spans="2:8" x14ac:dyDescent="0.25">
      <c r="B69" s="21"/>
      <c r="C69" s="105"/>
      <c r="D69" s="105"/>
      <c r="E69" s="105"/>
      <c r="F69" s="105"/>
      <c r="G69" s="105"/>
      <c r="H69" s="105"/>
    </row>
    <row r="70" spans="2:8" x14ac:dyDescent="0.25">
      <c r="B70" s="21"/>
      <c r="C70" s="105"/>
      <c r="D70" s="105"/>
      <c r="E70" s="105"/>
      <c r="F70" s="105"/>
      <c r="G70" s="105"/>
      <c r="H70" s="105"/>
    </row>
    <row r="71" spans="2:8" x14ac:dyDescent="0.25">
      <c r="B71" s="21"/>
      <c r="C71" s="105"/>
      <c r="D71" s="105"/>
      <c r="E71" s="105"/>
      <c r="F71" s="105"/>
      <c r="G71" s="105"/>
      <c r="H71" s="105"/>
    </row>
    <row r="72" spans="2:8" x14ac:dyDescent="0.25">
      <c r="B72" s="21"/>
      <c r="C72" s="105"/>
      <c r="D72" s="105"/>
      <c r="E72" s="105"/>
      <c r="F72" s="105"/>
      <c r="G72" s="105"/>
      <c r="H72" s="105"/>
    </row>
    <row r="73" spans="2:8" x14ac:dyDescent="0.25">
      <c r="B73" s="21"/>
      <c r="C73" s="105"/>
      <c r="D73" s="105"/>
      <c r="E73" s="105"/>
      <c r="F73" s="105"/>
      <c r="G73" s="105"/>
      <c r="H73" s="105"/>
    </row>
    <row r="74" spans="2:8" x14ac:dyDescent="0.25">
      <c r="B74" s="21"/>
      <c r="C74" s="105"/>
      <c r="D74" s="105"/>
      <c r="E74" s="105"/>
      <c r="F74" s="105"/>
      <c r="G74" s="105"/>
      <c r="H74" s="105"/>
    </row>
    <row r="75" spans="2:8" x14ac:dyDescent="0.25">
      <c r="B75" s="21"/>
      <c r="C75" s="105"/>
      <c r="D75" s="105"/>
      <c r="E75" s="105"/>
      <c r="F75" s="105"/>
      <c r="G75" s="105"/>
      <c r="H75" s="105"/>
    </row>
    <row r="76" spans="2:8" x14ac:dyDescent="0.25">
      <c r="B76" s="21"/>
      <c r="C76" s="105"/>
      <c r="D76" s="105"/>
      <c r="E76" s="105"/>
      <c r="F76" s="105"/>
      <c r="G76" s="105"/>
      <c r="H76" s="105"/>
    </row>
    <row r="77" spans="2:8" x14ac:dyDescent="0.25">
      <c r="B77" s="21"/>
      <c r="C77" s="105"/>
      <c r="D77" s="105"/>
      <c r="E77" s="105"/>
      <c r="F77" s="105"/>
      <c r="G77" s="105"/>
      <c r="H77" s="105"/>
    </row>
    <row r="78" spans="2:8" x14ac:dyDescent="0.25">
      <c r="B78" s="21"/>
      <c r="C78" s="105"/>
      <c r="D78" s="105"/>
      <c r="E78" s="105"/>
      <c r="F78" s="105"/>
      <c r="G78" s="105"/>
      <c r="H78" s="105"/>
    </row>
    <row r="79" spans="2:8" x14ac:dyDescent="0.25">
      <c r="B79" s="21"/>
      <c r="C79" s="105"/>
      <c r="D79" s="105"/>
      <c r="E79" s="105"/>
      <c r="F79" s="105"/>
      <c r="G79" s="105"/>
      <c r="H79" s="105"/>
    </row>
    <row r="80" spans="2:8" x14ac:dyDescent="0.25">
      <c r="B80" s="21"/>
      <c r="C80" s="105"/>
      <c r="D80" s="105"/>
      <c r="E80" s="105"/>
      <c r="F80" s="105"/>
      <c r="G80" s="105"/>
      <c r="H80" s="105"/>
    </row>
    <row r="81" spans="2:8" x14ac:dyDescent="0.25">
      <c r="B81" s="21"/>
      <c r="C81" s="105"/>
      <c r="D81" s="105"/>
      <c r="E81" s="105"/>
      <c r="F81" s="105"/>
      <c r="G81" s="105"/>
      <c r="H81" s="105"/>
    </row>
    <row r="82" spans="2:8" x14ac:dyDescent="0.25">
      <c r="B82" s="21"/>
      <c r="C82" s="105"/>
      <c r="D82" s="105"/>
      <c r="E82" s="105"/>
      <c r="F82" s="105"/>
      <c r="G82" s="105"/>
      <c r="H82" s="105"/>
    </row>
    <row r="83" spans="2:8" x14ac:dyDescent="0.25">
      <c r="B83" s="21"/>
      <c r="C83" s="105"/>
      <c r="D83" s="105"/>
      <c r="E83" s="105"/>
      <c r="F83" s="105"/>
      <c r="G83" s="105"/>
      <c r="H83" s="105"/>
    </row>
  </sheetData>
  <mergeCells count="34">
    <mergeCell ref="C80:H80"/>
    <mergeCell ref="C69:H69"/>
    <mergeCell ref="C70:H70"/>
    <mergeCell ref="C71:H71"/>
    <mergeCell ref="C72:H72"/>
    <mergeCell ref="C73:H73"/>
    <mergeCell ref="C81:H81"/>
    <mergeCell ref="C82:H82"/>
    <mergeCell ref="C83:H83"/>
    <mergeCell ref="G3:H3"/>
    <mergeCell ref="I3:J3"/>
    <mergeCell ref="C75:H75"/>
    <mergeCell ref="C76:H76"/>
    <mergeCell ref="C77:H77"/>
    <mergeCell ref="C78:H78"/>
    <mergeCell ref="C79:H79"/>
    <mergeCell ref="C60:H60"/>
    <mergeCell ref="C61:H61"/>
    <mergeCell ref="C74:H74"/>
    <mergeCell ref="C63:H63"/>
    <mergeCell ref="C64:H64"/>
    <mergeCell ref="C65:H65"/>
    <mergeCell ref="C66:H66"/>
    <mergeCell ref="C67:H67"/>
    <mergeCell ref="C68:H68"/>
    <mergeCell ref="C62:H62"/>
    <mergeCell ref="C56:H56"/>
    <mergeCell ref="C57:H57"/>
    <mergeCell ref="C58:H58"/>
    <mergeCell ref="C59:H59"/>
    <mergeCell ref="D2:L2"/>
    <mergeCell ref="M7:W7"/>
    <mergeCell ref="D6:F6"/>
    <mergeCell ref="D5:F5"/>
  </mergeCells>
  <hyperlinks>
    <hyperlink ref="D53" r:id="rId1" display="https://www.irena.org/-/media/Files/IRENA/Agency/Events/2017/Mar/15/2017_Kairies_Battery_Cost_and_Performance_01.pdf"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3"/>
  <sheetViews>
    <sheetView tabSelected="1" topLeftCell="A13" zoomScale="80" zoomScaleNormal="80" workbookViewId="0">
      <selection activeCell="E22" sqref="E22:F22"/>
    </sheetView>
  </sheetViews>
  <sheetFormatPr baseColWidth="10" defaultColWidth="11.42578125" defaultRowHeight="18" x14ac:dyDescent="0.35"/>
  <cols>
    <col min="1" max="1" width="67" style="19" customWidth="1"/>
    <col min="2" max="2" width="52.7109375" style="19" hidden="1" customWidth="1"/>
    <col min="3" max="3" width="4.85546875" style="58" customWidth="1"/>
    <col min="4" max="4" width="7" style="25" bestFit="1" customWidth="1"/>
    <col min="5" max="5" width="11" style="25" customWidth="1"/>
    <col min="6" max="6" width="12.28515625" style="25" customWidth="1"/>
    <col min="7" max="11" width="11" style="25" customWidth="1"/>
    <col min="12" max="12" width="14.28515625" style="25" customWidth="1"/>
    <col min="13" max="13" width="68.140625" style="58" customWidth="1"/>
    <col min="14" max="16384" width="11.42578125" style="19"/>
  </cols>
  <sheetData>
    <row r="1" spans="1:13" ht="66.75" customHeight="1" x14ac:dyDescent="0.35">
      <c r="A1" s="127" t="s">
        <v>173</v>
      </c>
      <c r="B1" s="46" t="s">
        <v>52</v>
      </c>
      <c r="D1" s="47" t="s">
        <v>56</v>
      </c>
      <c r="E1" s="47">
        <v>2015</v>
      </c>
      <c r="F1" s="47">
        <v>2016</v>
      </c>
      <c r="G1" s="47">
        <v>2017</v>
      </c>
      <c r="H1" s="47">
        <v>2020</v>
      </c>
      <c r="I1" s="47">
        <v>2025</v>
      </c>
      <c r="J1" s="47">
        <v>2030</v>
      </c>
      <c r="K1" s="47">
        <v>2050</v>
      </c>
      <c r="L1" s="47" t="s">
        <v>165</v>
      </c>
      <c r="M1" s="46" t="s">
        <v>185</v>
      </c>
    </row>
    <row r="2" spans="1:13" ht="30" customHeight="1" x14ac:dyDescent="0.35">
      <c r="A2" s="98" t="s">
        <v>132</v>
      </c>
      <c r="B2" s="48" t="s">
        <v>92</v>
      </c>
      <c r="D2" s="49" t="s">
        <v>57</v>
      </c>
      <c r="E2" s="49"/>
      <c r="F2" s="50">
        <v>8500</v>
      </c>
      <c r="G2" s="50"/>
      <c r="H2" s="50">
        <v>8500</v>
      </c>
      <c r="I2" s="50">
        <v>8500</v>
      </c>
      <c r="J2" s="50">
        <v>8500</v>
      </c>
      <c r="K2" s="50">
        <v>8500</v>
      </c>
      <c r="L2" s="115" t="s">
        <v>5</v>
      </c>
      <c r="M2" s="143" t="s">
        <v>186</v>
      </c>
    </row>
    <row r="3" spans="1:13" ht="30" customHeight="1" x14ac:dyDescent="0.35">
      <c r="A3" s="98" t="s">
        <v>133</v>
      </c>
      <c r="B3" s="48" t="s">
        <v>93</v>
      </c>
      <c r="D3" s="49" t="s">
        <v>58</v>
      </c>
      <c r="E3" s="49"/>
      <c r="F3" s="50">
        <v>1060</v>
      </c>
      <c r="G3" s="50"/>
      <c r="H3" s="50">
        <v>1060</v>
      </c>
      <c r="I3" s="50">
        <v>1060</v>
      </c>
      <c r="J3" s="50">
        <v>1060</v>
      </c>
      <c r="K3" s="50">
        <v>1060</v>
      </c>
      <c r="L3" s="115"/>
      <c r="M3" s="143"/>
    </row>
    <row r="4" spans="1:13" ht="30" customHeight="1" x14ac:dyDescent="0.35">
      <c r="A4" s="98" t="s">
        <v>134</v>
      </c>
      <c r="B4" s="48" t="s">
        <v>94</v>
      </c>
      <c r="D4" s="49" t="s">
        <v>59</v>
      </c>
      <c r="E4" s="49"/>
      <c r="F4" s="50">
        <v>1060</v>
      </c>
      <c r="G4" s="50"/>
      <c r="H4" s="50">
        <v>1060</v>
      </c>
      <c r="I4" s="50">
        <v>1060</v>
      </c>
      <c r="J4" s="50">
        <v>1060</v>
      </c>
      <c r="K4" s="50">
        <v>1060</v>
      </c>
      <c r="L4" s="115"/>
      <c r="M4" s="143"/>
    </row>
    <row r="5" spans="1:13" ht="82.5" customHeight="1" x14ac:dyDescent="0.35">
      <c r="A5" s="98" t="s">
        <v>174</v>
      </c>
      <c r="B5" s="48" t="s">
        <v>95</v>
      </c>
      <c r="D5" s="49" t="s">
        <v>60</v>
      </c>
      <c r="E5" s="50"/>
      <c r="F5" s="50"/>
      <c r="G5" s="50"/>
      <c r="H5" s="50">
        <f>(H6/100)*(H7/100)*100</f>
        <v>64.000000000000014</v>
      </c>
      <c r="I5" s="51"/>
      <c r="J5" s="50">
        <f>(J6/100)*(J7/100)*100</f>
        <v>70.559999999999988</v>
      </c>
      <c r="K5" s="50">
        <f>(K6/100)*(K7/100)*100</f>
        <v>72.249999999999986</v>
      </c>
      <c r="L5" s="52"/>
      <c r="M5" s="144" t="s">
        <v>228</v>
      </c>
    </row>
    <row r="6" spans="1:13" ht="30" customHeight="1" x14ac:dyDescent="0.35">
      <c r="A6" s="98" t="s">
        <v>135</v>
      </c>
      <c r="B6" s="48" t="s">
        <v>96</v>
      </c>
      <c r="D6" s="49" t="s">
        <v>61</v>
      </c>
      <c r="E6" s="50">
        <v>80</v>
      </c>
      <c r="F6" s="50"/>
      <c r="G6" s="50"/>
      <c r="H6" s="50">
        <v>80</v>
      </c>
      <c r="I6" s="50"/>
      <c r="J6" s="50">
        <v>84</v>
      </c>
      <c r="K6" s="50">
        <v>85</v>
      </c>
      <c r="L6" s="115" t="s">
        <v>9</v>
      </c>
      <c r="M6" s="143" t="s">
        <v>227</v>
      </c>
    </row>
    <row r="7" spans="1:13" ht="30" customHeight="1" x14ac:dyDescent="0.35">
      <c r="A7" s="98" t="s">
        <v>136</v>
      </c>
      <c r="B7" s="48" t="s">
        <v>97</v>
      </c>
      <c r="D7" s="49" t="s">
        <v>62</v>
      </c>
      <c r="E7" s="50">
        <v>69</v>
      </c>
      <c r="F7" s="50"/>
      <c r="G7" s="50"/>
      <c r="H7" s="50">
        <v>80</v>
      </c>
      <c r="I7" s="50"/>
      <c r="J7" s="50">
        <v>84</v>
      </c>
      <c r="K7" s="53">
        <v>85</v>
      </c>
      <c r="L7" s="115"/>
      <c r="M7" s="143"/>
    </row>
    <row r="8" spans="1:13" ht="60" customHeight="1" x14ac:dyDescent="0.35">
      <c r="A8" s="98" t="s">
        <v>175</v>
      </c>
      <c r="B8" s="48" t="s">
        <v>98</v>
      </c>
      <c r="D8" s="49" t="s">
        <v>63</v>
      </c>
      <c r="E8" s="50"/>
      <c r="F8" s="50">
        <v>0.5</v>
      </c>
      <c r="G8" s="50"/>
      <c r="H8" s="50"/>
      <c r="I8" s="50">
        <v>0.5</v>
      </c>
      <c r="J8" s="50"/>
      <c r="K8" s="53"/>
      <c r="L8" s="52" t="s">
        <v>86</v>
      </c>
      <c r="M8" s="144" t="s">
        <v>187</v>
      </c>
    </row>
    <row r="9" spans="1:13" ht="30" customHeight="1" x14ac:dyDescent="0.35">
      <c r="A9" s="98" t="s">
        <v>138</v>
      </c>
      <c r="B9" s="48" t="s">
        <v>99</v>
      </c>
      <c r="D9" s="49" t="s">
        <v>64</v>
      </c>
      <c r="E9" s="50">
        <v>5</v>
      </c>
      <c r="F9" s="50"/>
      <c r="G9" s="50"/>
      <c r="H9" s="50">
        <v>5</v>
      </c>
      <c r="I9" s="50"/>
      <c r="J9" s="50">
        <v>4</v>
      </c>
      <c r="K9" s="53">
        <v>4</v>
      </c>
      <c r="L9" s="115" t="s">
        <v>9</v>
      </c>
      <c r="M9" s="143" t="s">
        <v>226</v>
      </c>
    </row>
    <row r="10" spans="1:13" ht="30" customHeight="1" x14ac:dyDescent="0.35">
      <c r="A10" s="98" t="s">
        <v>176</v>
      </c>
      <c r="B10" s="48" t="s">
        <v>100</v>
      </c>
      <c r="D10" s="49" t="s">
        <v>65</v>
      </c>
      <c r="E10" s="50">
        <v>5</v>
      </c>
      <c r="F10" s="50"/>
      <c r="G10" s="50"/>
      <c r="H10" s="50">
        <v>5</v>
      </c>
      <c r="I10" s="50"/>
      <c r="J10" s="50">
        <v>4</v>
      </c>
      <c r="K10" s="53">
        <v>3</v>
      </c>
      <c r="L10" s="115"/>
      <c r="M10" s="143"/>
    </row>
    <row r="11" spans="1:13" ht="30" customHeight="1" x14ac:dyDescent="0.35">
      <c r="A11" s="98" t="s">
        <v>140</v>
      </c>
      <c r="B11" s="48" t="s">
        <v>101</v>
      </c>
      <c r="D11" s="49" t="s">
        <v>66</v>
      </c>
      <c r="E11" s="50">
        <v>40</v>
      </c>
      <c r="F11" s="50">
        <v>50</v>
      </c>
      <c r="G11" s="50"/>
      <c r="H11" s="50">
        <v>45</v>
      </c>
      <c r="I11" s="50"/>
      <c r="J11" s="50">
        <v>45</v>
      </c>
      <c r="K11" s="53">
        <v>40</v>
      </c>
      <c r="L11" s="115"/>
      <c r="M11" s="143" t="s">
        <v>226</v>
      </c>
    </row>
    <row r="12" spans="1:13" ht="30" customHeight="1" x14ac:dyDescent="0.35">
      <c r="A12" s="98" t="s">
        <v>141</v>
      </c>
      <c r="B12" s="48" t="s">
        <v>102</v>
      </c>
      <c r="D12" s="49" t="s">
        <v>67</v>
      </c>
      <c r="E12" s="50">
        <v>2.9</v>
      </c>
      <c r="F12" s="50"/>
      <c r="G12" s="50"/>
      <c r="H12" s="50">
        <v>2.9</v>
      </c>
      <c r="I12" s="50"/>
      <c r="J12" s="50">
        <v>2.9</v>
      </c>
      <c r="K12" s="51">
        <v>2.9</v>
      </c>
      <c r="L12" s="115"/>
      <c r="M12" s="143"/>
    </row>
    <row r="13" spans="1:13" ht="30" customHeight="1" x14ac:dyDescent="0.35">
      <c r="A13" s="98" t="s">
        <v>177</v>
      </c>
      <c r="B13" s="48" t="s">
        <v>103</v>
      </c>
      <c r="D13" s="49" t="s">
        <v>68</v>
      </c>
      <c r="E13" s="50">
        <v>700</v>
      </c>
      <c r="F13" s="50"/>
      <c r="G13" s="50"/>
      <c r="H13" s="50">
        <v>700</v>
      </c>
      <c r="I13" s="50"/>
      <c r="J13" s="50">
        <v>1000</v>
      </c>
      <c r="K13" s="53">
        <v>1000</v>
      </c>
      <c r="L13" s="115"/>
      <c r="M13" s="144" t="s">
        <v>225</v>
      </c>
    </row>
    <row r="14" spans="1:13" ht="48.75" customHeight="1" x14ac:dyDescent="0.35">
      <c r="A14" s="98" t="s">
        <v>178</v>
      </c>
      <c r="B14" s="48" t="s">
        <v>104</v>
      </c>
      <c r="D14" s="49" t="s">
        <v>69</v>
      </c>
      <c r="E14" s="50"/>
      <c r="F14" s="50">
        <f>((F15+F17)*F2+F16*F3)/F2</f>
        <v>0.26334705882352938</v>
      </c>
      <c r="G14" s="50"/>
      <c r="H14" s="50">
        <f>((H15+H17)*H2+H16*H3)/H2</f>
        <v>0.23857011764705882</v>
      </c>
      <c r="I14" s="50"/>
      <c r="J14" s="50">
        <f t="shared" ref="J14:K14" si="0">((J15+J17)*J2+J16*J3)/J2</f>
        <v>0.22367105882352939</v>
      </c>
      <c r="K14" s="50">
        <f t="shared" si="0"/>
        <v>0.20592389669555419</v>
      </c>
      <c r="L14" s="115" t="s">
        <v>5</v>
      </c>
      <c r="M14" s="144" t="s">
        <v>224</v>
      </c>
    </row>
    <row r="15" spans="1:13" ht="84" customHeight="1" x14ac:dyDescent="0.35">
      <c r="A15" s="98" t="s">
        <v>179</v>
      </c>
      <c r="B15" s="48" t="s">
        <v>105</v>
      </c>
      <c r="D15" s="49" t="s">
        <v>70</v>
      </c>
      <c r="E15" s="50"/>
      <c r="F15" s="50">
        <v>5.2499999999999998E-2</v>
      </c>
      <c r="G15" s="50"/>
      <c r="H15" s="50">
        <v>4.8099999999999997E-2</v>
      </c>
      <c r="I15" s="50">
        <v>4.5699999999999998E-2</v>
      </c>
      <c r="J15" s="50">
        <v>4.4200000000000003E-2</v>
      </c>
      <c r="K15" s="54">
        <f>1378890981.55984*EXP(-0.01191*K1)</f>
        <v>3.435682385143083E-2</v>
      </c>
      <c r="L15" s="115"/>
      <c r="M15" s="144" t="s">
        <v>188</v>
      </c>
    </row>
    <row r="16" spans="1:13" ht="100.5" customHeight="1" x14ac:dyDescent="0.35">
      <c r="A16" s="98" t="s">
        <v>180</v>
      </c>
      <c r="B16" s="48" t="s">
        <v>106</v>
      </c>
      <c r="D16" s="49" t="s">
        <v>71</v>
      </c>
      <c r="E16" s="50"/>
      <c r="F16" s="50">
        <v>0.94499999999999995</v>
      </c>
      <c r="G16" s="50"/>
      <c r="H16" s="50">
        <v>0.78159999999999996</v>
      </c>
      <c r="I16" s="50">
        <v>0.7127</v>
      </c>
      <c r="J16" s="50">
        <v>0.69340000000000002</v>
      </c>
      <c r="K16" s="54">
        <f>F37</f>
        <v>0.63001898035381954</v>
      </c>
      <c r="L16" s="115"/>
      <c r="M16" s="144" t="s">
        <v>189</v>
      </c>
    </row>
    <row r="17" spans="1:13" ht="60.75" customHeight="1" x14ac:dyDescent="0.35">
      <c r="A17" s="98" t="s">
        <v>184</v>
      </c>
      <c r="B17" s="48" t="s">
        <v>53</v>
      </c>
      <c r="D17" s="49" t="s">
        <v>72</v>
      </c>
      <c r="E17" s="50">
        <v>9.2999999999999999E-2</v>
      </c>
      <c r="F17" s="50">
        <v>9.2999999999999999E-2</v>
      </c>
      <c r="G17" s="50"/>
      <c r="H17" s="50">
        <v>9.2999999999999999E-2</v>
      </c>
      <c r="I17" s="50"/>
      <c r="J17" s="50">
        <v>9.2999999999999999E-2</v>
      </c>
      <c r="K17" s="54">
        <v>9.2999999999999999E-2</v>
      </c>
      <c r="L17" s="52" t="s">
        <v>30</v>
      </c>
      <c r="M17" s="144" t="s">
        <v>223</v>
      </c>
    </row>
    <row r="18" spans="1:13" ht="30" customHeight="1" x14ac:dyDescent="0.35">
      <c r="A18" s="98" t="s">
        <v>181</v>
      </c>
      <c r="B18" s="48" t="s">
        <v>107</v>
      </c>
      <c r="D18" s="49" t="s">
        <v>73</v>
      </c>
      <c r="E18" s="50"/>
      <c r="F18" s="50">
        <v>2.73</v>
      </c>
      <c r="G18" s="50"/>
      <c r="H18" s="50">
        <v>2.73</v>
      </c>
      <c r="I18" s="50"/>
      <c r="J18" s="50">
        <v>2.73</v>
      </c>
      <c r="K18" s="50">
        <v>2.73</v>
      </c>
      <c r="L18" s="115" t="s">
        <v>9</v>
      </c>
      <c r="M18" s="145" t="s">
        <v>222</v>
      </c>
    </row>
    <row r="19" spans="1:13" ht="30" customHeight="1" x14ac:dyDescent="0.35">
      <c r="A19" s="98" t="s">
        <v>182</v>
      </c>
      <c r="B19" s="48" t="s">
        <v>108</v>
      </c>
      <c r="D19" s="49" t="s">
        <v>74</v>
      </c>
      <c r="E19" s="50"/>
      <c r="F19" s="50">
        <v>2.73</v>
      </c>
      <c r="G19" s="55"/>
      <c r="H19" s="50">
        <v>2.73</v>
      </c>
      <c r="I19" s="56"/>
      <c r="J19" s="50">
        <v>2.73</v>
      </c>
      <c r="K19" s="50">
        <v>2.73</v>
      </c>
      <c r="L19" s="115"/>
      <c r="M19" s="145"/>
    </row>
    <row r="20" spans="1:13" ht="52.5" customHeight="1" x14ac:dyDescent="0.35">
      <c r="A20" s="98" t="s">
        <v>183</v>
      </c>
      <c r="B20" s="48" t="s">
        <v>109</v>
      </c>
      <c r="D20" s="49" t="s">
        <v>69</v>
      </c>
      <c r="E20" s="50"/>
      <c r="F20" s="57">
        <f>((F15+F17)*F2+F16*F3)/F3</f>
        <v>2.1117452830188679</v>
      </c>
      <c r="G20" s="50"/>
      <c r="H20" s="57">
        <f t="shared" ref="H20:K20" si="1">((H15+H17)*H2+H16*H3)/H3</f>
        <v>1.9130622641509434</v>
      </c>
      <c r="I20" s="57"/>
      <c r="J20" s="57">
        <f t="shared" si="1"/>
        <v>1.7935886792452829</v>
      </c>
      <c r="K20" s="57">
        <f t="shared" si="1"/>
        <v>1.651276530105859</v>
      </c>
      <c r="L20" s="52"/>
      <c r="M20" s="144" t="s">
        <v>232</v>
      </c>
    </row>
    <row r="21" spans="1:13" ht="33" customHeight="1" x14ac:dyDescent="0.35"/>
    <row r="22" spans="1:13" ht="74.650000000000006" customHeight="1" x14ac:dyDescent="0.35">
      <c r="E22" s="108" t="s">
        <v>190</v>
      </c>
      <c r="F22" s="108"/>
      <c r="H22" s="116"/>
      <c r="I22" s="116"/>
      <c r="J22" s="116"/>
      <c r="K22" s="116"/>
      <c r="M22" s="59"/>
    </row>
    <row r="23" spans="1:13" x14ac:dyDescent="0.35">
      <c r="E23" s="60" t="s">
        <v>85</v>
      </c>
      <c r="F23" s="60" t="s">
        <v>84</v>
      </c>
      <c r="G23" s="25" t="s">
        <v>83</v>
      </c>
    </row>
    <row r="24" spans="1:13" ht="63.75" x14ac:dyDescent="0.35">
      <c r="D24" s="61" t="s">
        <v>81</v>
      </c>
      <c r="E24" s="62" t="s">
        <v>75</v>
      </c>
      <c r="F24" s="8" t="s">
        <v>191</v>
      </c>
      <c r="G24" s="62" t="s">
        <v>77</v>
      </c>
      <c r="H24" s="62" t="s">
        <v>78</v>
      </c>
      <c r="I24" s="62" t="s">
        <v>79</v>
      </c>
      <c r="J24" s="62" t="s">
        <v>26</v>
      </c>
      <c r="K24" s="62" t="s">
        <v>37</v>
      </c>
      <c r="L24" s="62" t="s">
        <v>84</v>
      </c>
    </row>
    <row r="25" spans="1:13" x14ac:dyDescent="0.35">
      <c r="D25" s="61">
        <v>1</v>
      </c>
      <c r="E25" s="63">
        <v>2016</v>
      </c>
      <c r="F25" s="63">
        <f>F16</f>
        <v>0.94499999999999995</v>
      </c>
      <c r="G25" s="64">
        <f>1/F25</f>
        <v>1.0582010582010584</v>
      </c>
      <c r="H25" s="65">
        <f>E25*G25</f>
        <v>2133.3333333333335</v>
      </c>
      <c r="I25" s="63">
        <f>E25*E25</f>
        <v>4064256</v>
      </c>
      <c r="J25" s="64">
        <f>((D28*H29)-(E29*G29))/((D28*I29)-POWER(E29,2))</f>
        <v>2.6649689218955053E-2</v>
      </c>
      <c r="K25" s="66">
        <f>G30-(J25*E30)</f>
        <v>-52.609930914564316</v>
      </c>
      <c r="L25" s="67">
        <f>1/($K$25+($J$25*E25))</f>
        <v>0.89618378438703583</v>
      </c>
    </row>
    <row r="26" spans="1:13" x14ac:dyDescent="0.35">
      <c r="D26" s="61">
        <f>1+D25</f>
        <v>2</v>
      </c>
      <c r="E26" s="63">
        <v>2020</v>
      </c>
      <c r="F26" s="63">
        <f>H16</f>
        <v>0.78159999999999996</v>
      </c>
      <c r="G26" s="64">
        <f t="shared" ref="G26:G28" si="2">1/F26</f>
        <v>1.2794268167860798</v>
      </c>
      <c r="H26" s="65">
        <f t="shared" ref="H26:H28" si="3">E26*G26</f>
        <v>2584.4421699078812</v>
      </c>
      <c r="I26" s="63">
        <f t="shared" ref="I26:I28" si="4">E26*E26</f>
        <v>4080400</v>
      </c>
      <c r="J26" s="64"/>
      <c r="K26" s="66"/>
      <c r="L26" s="67">
        <f t="shared" ref="L26:L28" si="5">1/($K$25+($J$25*E26))</f>
        <v>0.81803518392315944</v>
      </c>
    </row>
    <row r="27" spans="1:13" x14ac:dyDescent="0.35">
      <c r="D27" s="61">
        <f t="shared" ref="D27:D28" si="6">1+D26</f>
        <v>3</v>
      </c>
      <c r="E27" s="63">
        <v>2025</v>
      </c>
      <c r="F27" s="63">
        <f>I16</f>
        <v>0.7127</v>
      </c>
      <c r="G27" s="64">
        <f t="shared" si="2"/>
        <v>1.4031149151115476</v>
      </c>
      <c r="H27" s="65">
        <f t="shared" si="3"/>
        <v>2841.3077031008838</v>
      </c>
      <c r="I27" s="63">
        <f t="shared" si="4"/>
        <v>4100625</v>
      </c>
      <c r="J27" s="64"/>
      <c r="K27" s="66"/>
      <c r="L27" s="67">
        <f t="shared" si="5"/>
        <v>0.73763189341992963</v>
      </c>
    </row>
    <row r="28" spans="1:13" x14ac:dyDescent="0.35">
      <c r="D28" s="61">
        <f t="shared" si="6"/>
        <v>4</v>
      </c>
      <c r="E28" s="63">
        <v>2030</v>
      </c>
      <c r="F28" s="63">
        <f>J16</f>
        <v>0.69340000000000002</v>
      </c>
      <c r="G28" s="64">
        <f t="shared" si="2"/>
        <v>1.442169022209403</v>
      </c>
      <c r="H28" s="65">
        <f t="shared" si="3"/>
        <v>2927.6031150850881</v>
      </c>
      <c r="I28" s="63">
        <f t="shared" si="4"/>
        <v>4120900</v>
      </c>
      <c r="J28" s="64"/>
      <c r="K28" s="66"/>
      <c r="L28" s="67">
        <f t="shared" si="5"/>
        <v>0.67161954744492525</v>
      </c>
    </row>
    <row r="29" spans="1:13" x14ac:dyDescent="0.35">
      <c r="D29" s="61" t="s">
        <v>80</v>
      </c>
      <c r="E29" s="61">
        <f>SUM(E25:E28)</f>
        <v>8091</v>
      </c>
      <c r="F29" s="61"/>
      <c r="G29" s="66">
        <f>SUM(G25:G28)</f>
        <v>5.1829118123080891</v>
      </c>
      <c r="H29" s="67">
        <f>SUM(H25:H28)</f>
        <v>10486.686321427187</v>
      </c>
      <c r="I29" s="61">
        <f>SUM(I25:I28)</f>
        <v>16366181</v>
      </c>
      <c r="J29" s="64"/>
      <c r="K29" s="66"/>
      <c r="L29" s="67">
        <f>1/($K$25+($J$25*2050))</f>
        <v>0.49457647822381923</v>
      </c>
    </row>
    <row r="30" spans="1:13" x14ac:dyDescent="0.35">
      <c r="D30" s="61" t="s">
        <v>82</v>
      </c>
      <c r="E30" s="61">
        <f>AVERAGE(E25:E28)</f>
        <v>2022.75</v>
      </c>
      <c r="F30" s="61"/>
      <c r="G30" s="66">
        <f>AVERAGE(G25:G28)</f>
        <v>1.2957279530770223</v>
      </c>
      <c r="H30" s="61"/>
      <c r="I30" s="61"/>
      <c r="J30" s="61"/>
      <c r="K30" s="61"/>
      <c r="L30" s="61"/>
    </row>
    <row r="31" spans="1:13" ht="18.75" thickBot="1" x14ac:dyDescent="0.4">
      <c r="G31" s="68"/>
    </row>
    <row r="32" spans="1:13" ht="94.5" x14ac:dyDescent="0.35">
      <c r="D32" s="69" t="s">
        <v>195</v>
      </c>
      <c r="E32" s="130" t="s">
        <v>194</v>
      </c>
      <c r="F32" s="129" t="s">
        <v>192</v>
      </c>
      <c r="G32" s="131" t="s">
        <v>196</v>
      </c>
      <c r="H32" s="132">
        <v>0.92400000000000004</v>
      </c>
      <c r="I32" s="38"/>
      <c r="J32" s="39"/>
      <c r="K32" s="39"/>
      <c r="L32" s="40"/>
    </row>
    <row r="33" spans="3:12" ht="24.95" customHeight="1" x14ac:dyDescent="0.35">
      <c r="D33" s="70"/>
      <c r="E33" s="41">
        <v>1</v>
      </c>
      <c r="F33" s="25">
        <f>F25</f>
        <v>0.94499999999999995</v>
      </c>
      <c r="G33" s="109" t="s">
        <v>193</v>
      </c>
      <c r="H33" s="109"/>
      <c r="I33" s="109"/>
      <c r="J33" s="109"/>
      <c r="K33" s="109"/>
      <c r="L33" s="110"/>
    </row>
    <row r="34" spans="3:12" ht="24.95" customHeight="1" x14ac:dyDescent="0.35">
      <c r="D34" s="70"/>
      <c r="E34" s="41">
        <f>E33+E26-E25</f>
        <v>5</v>
      </c>
      <c r="F34" s="42">
        <f>(E34/E33)^((LN($H$32)/LN(2)))*F$25</f>
        <v>0.78654684624869753</v>
      </c>
      <c r="G34" s="111"/>
      <c r="H34" s="111"/>
      <c r="I34" s="111"/>
      <c r="J34" s="111"/>
      <c r="K34" s="111"/>
      <c r="L34" s="112"/>
    </row>
    <row r="35" spans="3:12" ht="24.95" customHeight="1" x14ac:dyDescent="0.35">
      <c r="D35" s="70"/>
      <c r="E35" s="41">
        <f>E34+E27-E26</f>
        <v>10</v>
      </c>
      <c r="F35" s="42">
        <f>(E35/E33)^((LN($H$32)/LN(2)))*F$25</f>
        <v>0.72676928593379664</v>
      </c>
      <c r="G35" s="111"/>
      <c r="H35" s="111"/>
      <c r="I35" s="111"/>
      <c r="J35" s="111"/>
      <c r="K35" s="111"/>
      <c r="L35" s="112"/>
    </row>
    <row r="36" spans="3:12" ht="24.95" customHeight="1" x14ac:dyDescent="0.35">
      <c r="D36" s="70"/>
      <c r="E36" s="43">
        <f>E35+E28-E27</f>
        <v>15</v>
      </c>
      <c r="F36" s="42">
        <f>(E36/E33)^((LN($H$32)/LN(2)))*F$25</f>
        <v>0.69393046716928986</v>
      </c>
      <c r="G36" s="111"/>
      <c r="H36" s="111"/>
      <c r="I36" s="111"/>
      <c r="J36" s="111"/>
      <c r="K36" s="111"/>
      <c r="L36" s="112"/>
    </row>
    <row r="37" spans="3:12" ht="24.95" customHeight="1" x14ac:dyDescent="0.35">
      <c r="D37" s="70">
        <v>2050</v>
      </c>
      <c r="E37" s="41">
        <f>E36+2050-E28</f>
        <v>35</v>
      </c>
      <c r="F37" s="42">
        <f>(E37/E33)^((LN($H$32)/LN(2)))*F$25</f>
        <v>0.63001898035381954</v>
      </c>
      <c r="G37" s="111"/>
      <c r="H37" s="111"/>
      <c r="I37" s="111"/>
      <c r="J37" s="111"/>
      <c r="K37" s="111"/>
      <c r="L37" s="112"/>
    </row>
    <row r="38" spans="3:12" ht="24.95" customHeight="1" x14ac:dyDescent="0.35">
      <c r="D38" s="70"/>
      <c r="E38" s="44"/>
      <c r="F38" s="44"/>
      <c r="G38" s="111"/>
      <c r="H38" s="111"/>
      <c r="I38" s="111"/>
      <c r="J38" s="111"/>
      <c r="K38" s="111"/>
      <c r="L38" s="112"/>
    </row>
    <row r="39" spans="3:12" ht="24.95" customHeight="1" x14ac:dyDescent="0.35">
      <c r="D39" s="70"/>
      <c r="E39" s="44"/>
      <c r="F39" s="44"/>
      <c r="G39" s="111"/>
      <c r="H39" s="111"/>
      <c r="I39" s="111"/>
      <c r="J39" s="111"/>
      <c r="K39" s="111"/>
      <c r="L39" s="112"/>
    </row>
    <row r="40" spans="3:12" ht="24.95" customHeight="1" x14ac:dyDescent="0.35">
      <c r="D40" s="70"/>
      <c r="E40" s="44"/>
      <c r="F40" s="44"/>
      <c r="G40" s="111"/>
      <c r="H40" s="111"/>
      <c r="I40" s="111"/>
      <c r="J40" s="111"/>
      <c r="K40" s="111"/>
      <c r="L40" s="112"/>
    </row>
    <row r="41" spans="3:12" ht="24.95" customHeight="1" thickBot="1" x14ac:dyDescent="0.4">
      <c r="D41" s="71"/>
      <c r="E41" s="45"/>
      <c r="F41" s="45"/>
      <c r="G41" s="113"/>
      <c r="H41" s="113"/>
      <c r="I41" s="113"/>
      <c r="J41" s="113"/>
      <c r="K41" s="113"/>
      <c r="L41" s="114"/>
    </row>
    <row r="42" spans="3:12" x14ac:dyDescent="0.35">
      <c r="G42" s="72"/>
      <c r="H42" s="72"/>
      <c r="I42" s="72"/>
      <c r="J42" s="72"/>
      <c r="K42" s="72"/>
      <c r="L42" s="72"/>
    </row>
    <row r="43" spans="3:12" x14ac:dyDescent="0.35">
      <c r="G43" s="72"/>
      <c r="H43" s="72"/>
      <c r="I43" s="72"/>
      <c r="J43" s="72"/>
      <c r="K43" s="72"/>
      <c r="L43" s="72"/>
    </row>
    <row r="44" spans="3:12" x14ac:dyDescent="0.35">
      <c r="C44" s="128" t="s">
        <v>5</v>
      </c>
      <c r="D44" s="10" t="s">
        <v>38</v>
      </c>
    </row>
    <row r="45" spans="3:12" x14ac:dyDescent="0.35">
      <c r="C45" s="128" t="s">
        <v>39</v>
      </c>
      <c r="D45" s="30" t="s">
        <v>40</v>
      </c>
    </row>
    <row r="46" spans="3:12" x14ac:dyDescent="0.35">
      <c r="C46" s="128" t="s">
        <v>9</v>
      </c>
      <c r="D46" s="30" t="s">
        <v>41</v>
      </c>
    </row>
    <row r="47" spans="3:12" x14ac:dyDescent="0.35">
      <c r="C47" s="128" t="s">
        <v>42</v>
      </c>
      <c r="D47" s="30" t="s">
        <v>43</v>
      </c>
    </row>
    <row r="48" spans="3:12" x14ac:dyDescent="0.35">
      <c r="C48" s="128" t="s">
        <v>44</v>
      </c>
      <c r="D48" s="30" t="s">
        <v>45</v>
      </c>
    </row>
    <row r="49" spans="3:4" x14ac:dyDescent="0.35">
      <c r="C49" s="128" t="s">
        <v>46</v>
      </c>
      <c r="D49" s="30" t="s">
        <v>47</v>
      </c>
    </row>
    <row r="50" spans="3:4" x14ac:dyDescent="0.35">
      <c r="C50" s="128" t="s">
        <v>48</v>
      </c>
      <c r="D50" s="30" t="s">
        <v>88</v>
      </c>
    </row>
    <row r="51" spans="3:4" x14ac:dyDescent="0.35">
      <c r="C51" s="128" t="s">
        <v>49</v>
      </c>
      <c r="D51" s="30" t="s">
        <v>89</v>
      </c>
    </row>
    <row r="52" spans="3:4" x14ac:dyDescent="0.35">
      <c r="C52" s="128" t="s">
        <v>30</v>
      </c>
      <c r="D52" s="30" t="s">
        <v>50</v>
      </c>
    </row>
    <row r="53" spans="3:4" x14ac:dyDescent="0.35">
      <c r="C53" s="128" t="s">
        <v>51</v>
      </c>
      <c r="D53" s="30" t="s">
        <v>90</v>
      </c>
    </row>
  </sheetData>
  <mergeCells count="13">
    <mergeCell ref="E22:F22"/>
    <mergeCell ref="G33:L41"/>
    <mergeCell ref="L2:L4"/>
    <mergeCell ref="M2:M4"/>
    <mergeCell ref="L6:L7"/>
    <mergeCell ref="M6:M7"/>
    <mergeCell ref="L9:L13"/>
    <mergeCell ref="M9:M10"/>
    <mergeCell ref="M11:M12"/>
    <mergeCell ref="H22:K22"/>
    <mergeCell ref="M18:M19"/>
    <mergeCell ref="L14:L16"/>
    <mergeCell ref="L18:L19"/>
  </mergeCells>
  <hyperlinks>
    <hyperlink ref="D52" r:id="rId1" display="https://www.irena.org/-/media/Files/IRENA/Agency/Events/2017/Mar/15/2017_Kairies_Battery_Cost_and_Performance_01.pdf"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4"/>
  <sheetViews>
    <sheetView zoomScale="80" zoomScaleNormal="80" workbookViewId="0">
      <selection activeCell="A22" sqref="A22"/>
    </sheetView>
  </sheetViews>
  <sheetFormatPr baseColWidth="10" defaultColWidth="11.42578125" defaultRowHeight="15" x14ac:dyDescent="0.25"/>
  <cols>
    <col min="1" max="1" width="54.42578125" style="17" customWidth="1"/>
    <col min="2" max="2" width="44.7109375" style="1" hidden="1" customWidth="1"/>
    <col min="3" max="3" width="3.140625" style="17" customWidth="1"/>
    <col min="4" max="6" width="10.42578125" style="1" customWidth="1"/>
    <col min="7" max="7" width="10.140625" style="1" customWidth="1"/>
    <col min="8" max="8" width="13.85546875" style="1" customWidth="1"/>
    <col min="9" max="9" width="13" style="1" customWidth="1"/>
    <col min="10" max="10" width="13.42578125" style="1" customWidth="1"/>
    <col min="11" max="11" width="14.5703125" style="1" customWidth="1"/>
    <col min="12" max="12" width="11.42578125" style="1"/>
    <col min="13" max="26" width="10.42578125" style="1" customWidth="1"/>
    <col min="27" max="16384" width="11.42578125" style="1"/>
  </cols>
  <sheetData>
    <row r="1" spans="1:26" ht="42.75" customHeight="1" x14ac:dyDescent="0.25">
      <c r="C1" s="16"/>
      <c r="D1" s="13"/>
      <c r="E1" s="13"/>
      <c r="F1" s="13"/>
      <c r="G1" s="13"/>
      <c r="H1" s="147" t="s">
        <v>203</v>
      </c>
      <c r="I1" s="147"/>
      <c r="J1" s="147" t="s">
        <v>204</v>
      </c>
      <c r="K1" s="147"/>
      <c r="L1" s="148"/>
      <c r="M1" s="147" t="s">
        <v>206</v>
      </c>
      <c r="N1" s="147"/>
      <c r="O1" s="147" t="s">
        <v>219</v>
      </c>
      <c r="P1" s="147"/>
      <c r="Q1" s="147" t="s">
        <v>218</v>
      </c>
      <c r="R1" s="147"/>
      <c r="S1" s="149"/>
      <c r="T1" s="150" t="s">
        <v>75</v>
      </c>
      <c r="U1" s="150" t="s">
        <v>207</v>
      </c>
      <c r="V1" s="150" t="s">
        <v>208</v>
      </c>
      <c r="W1" s="117" t="s">
        <v>153</v>
      </c>
      <c r="X1" s="117"/>
      <c r="Y1" s="117"/>
      <c r="Z1" s="117"/>
    </row>
    <row r="2" spans="1:26" ht="51" customHeight="1" x14ac:dyDescent="0.25">
      <c r="A2" s="14" t="s">
        <v>173</v>
      </c>
      <c r="B2" s="14" t="s">
        <v>52</v>
      </c>
      <c r="D2" s="11">
        <v>2015</v>
      </c>
      <c r="E2" s="11">
        <v>2020</v>
      </c>
      <c r="F2" s="11">
        <v>2030</v>
      </c>
      <c r="G2" s="11">
        <v>2050</v>
      </c>
      <c r="H2" s="12" t="s">
        <v>151</v>
      </c>
      <c r="I2" s="13" t="s">
        <v>152</v>
      </c>
      <c r="J2" s="2" t="s">
        <v>151</v>
      </c>
      <c r="K2" s="2" t="s">
        <v>152</v>
      </c>
      <c r="L2" s="6" t="s">
        <v>205</v>
      </c>
      <c r="M2" s="2" t="s">
        <v>151</v>
      </c>
      <c r="N2" s="2" t="s">
        <v>152</v>
      </c>
      <c r="O2" s="2" t="s">
        <v>151</v>
      </c>
      <c r="P2" s="2" t="s">
        <v>152</v>
      </c>
      <c r="Q2" s="1" t="s">
        <v>151</v>
      </c>
      <c r="R2" s="1" t="s">
        <v>152</v>
      </c>
      <c r="T2" s="7">
        <v>2020</v>
      </c>
      <c r="U2" s="4">
        <f>M3</f>
        <v>-0.2857142857142857</v>
      </c>
      <c r="V2" s="4">
        <f>N3</f>
        <v>0.42857142857142855</v>
      </c>
      <c r="W2" s="146" t="s">
        <v>209</v>
      </c>
      <c r="X2" s="146"/>
      <c r="Y2" s="146"/>
      <c r="Z2" s="146"/>
    </row>
    <row r="3" spans="1:26" ht="32.25" customHeight="1" x14ac:dyDescent="0.25">
      <c r="A3" s="151" t="s">
        <v>202</v>
      </c>
      <c r="B3" s="15" t="s">
        <v>103</v>
      </c>
      <c r="D3" s="13">
        <v>700</v>
      </c>
      <c r="E3" s="13">
        <v>700</v>
      </c>
      <c r="F3" s="13">
        <v>1000</v>
      </c>
      <c r="G3" s="13">
        <v>1000</v>
      </c>
      <c r="H3" s="13">
        <v>500</v>
      </c>
      <c r="I3" s="13">
        <v>1000</v>
      </c>
      <c r="J3" s="1">
        <v>800</v>
      </c>
      <c r="K3" s="1">
        <v>1200</v>
      </c>
      <c r="L3" s="1" t="s">
        <v>9</v>
      </c>
      <c r="M3" s="5">
        <f>(H3-$E$3)/$E$3</f>
        <v>-0.2857142857142857</v>
      </c>
      <c r="N3" s="5">
        <f>(I3-$E$3)/$E$3</f>
        <v>0.42857142857142855</v>
      </c>
      <c r="O3" s="5">
        <f>(0.002857*F2)-6.057143</f>
        <v>-0.2574329999999998</v>
      </c>
      <c r="P3" s="5">
        <f>(-0.007619*F2)+15.819048</f>
        <v>0.3524780000000014</v>
      </c>
      <c r="Q3" s="3">
        <f>(J3-$G$3)/$G$3</f>
        <v>-0.2</v>
      </c>
      <c r="R3" s="3">
        <f>(K3-$G$3)/$G$3</f>
        <v>0.2</v>
      </c>
      <c r="T3" s="7">
        <v>2050</v>
      </c>
      <c r="U3" s="4">
        <f>Q3</f>
        <v>-0.2</v>
      </c>
      <c r="V3" s="4">
        <f>R3</f>
        <v>0.2</v>
      </c>
      <c r="W3" s="146"/>
      <c r="X3" s="146"/>
      <c r="Y3" s="146"/>
      <c r="Z3" s="146"/>
    </row>
    <row r="4" spans="1:26" ht="18" x14ac:dyDescent="0.25">
      <c r="A4" s="152"/>
      <c r="B4" s="16"/>
      <c r="D4" s="13"/>
      <c r="E4" s="13"/>
      <c r="F4" s="13"/>
      <c r="G4" s="13"/>
      <c r="H4" s="13"/>
      <c r="I4" s="13"/>
    </row>
    <row r="5" spans="1:26" ht="18" x14ac:dyDescent="0.25">
      <c r="A5" s="152"/>
      <c r="B5" s="16"/>
      <c r="D5" s="13"/>
      <c r="E5" s="13"/>
      <c r="F5" s="13"/>
      <c r="G5" s="13"/>
      <c r="H5" s="13"/>
      <c r="I5" s="13"/>
    </row>
    <row r="6" spans="1:26" ht="18" x14ac:dyDescent="0.25">
      <c r="A6" s="152"/>
      <c r="B6" s="18"/>
      <c r="D6" s="118" t="s">
        <v>210</v>
      </c>
      <c r="E6" s="118"/>
      <c r="F6" s="118"/>
      <c r="G6" s="118"/>
      <c r="H6" s="118"/>
      <c r="I6" s="118"/>
      <c r="J6" s="73"/>
      <c r="K6" s="73"/>
      <c r="L6" s="73"/>
      <c r="M6" s="73"/>
      <c r="N6" s="119"/>
      <c r="O6" s="119"/>
      <c r="P6" s="119"/>
    </row>
    <row r="7" spans="1:26" ht="39.950000000000003" customHeight="1" x14ac:dyDescent="0.25">
      <c r="A7" s="99" t="s">
        <v>132</v>
      </c>
      <c r="B7" s="82" t="s">
        <v>110</v>
      </c>
      <c r="D7" s="133" t="s">
        <v>213</v>
      </c>
      <c r="E7" s="133"/>
      <c r="F7" s="133"/>
      <c r="G7" s="133"/>
      <c r="H7" s="133"/>
      <c r="I7" s="133"/>
      <c r="J7" s="75"/>
      <c r="K7" s="75"/>
      <c r="L7" s="75"/>
      <c r="M7" s="75"/>
      <c r="N7" s="73"/>
      <c r="O7" s="73"/>
      <c r="P7" s="73"/>
    </row>
    <row r="8" spans="1:26" ht="39.950000000000003" customHeight="1" x14ac:dyDescent="0.25">
      <c r="A8" s="99" t="s">
        <v>133</v>
      </c>
      <c r="B8" s="82" t="s">
        <v>111</v>
      </c>
      <c r="D8" s="133"/>
      <c r="E8" s="133"/>
      <c r="F8" s="133"/>
      <c r="G8" s="133"/>
      <c r="H8" s="133"/>
      <c r="I8" s="133"/>
      <c r="J8" s="75"/>
      <c r="K8" s="75"/>
      <c r="L8" s="75"/>
      <c r="M8" s="75"/>
      <c r="N8" s="73"/>
      <c r="O8" s="73"/>
      <c r="P8" s="73"/>
    </row>
    <row r="9" spans="1:26" ht="39.950000000000003" customHeight="1" x14ac:dyDescent="0.25">
      <c r="A9" s="99" t="s">
        <v>197</v>
      </c>
      <c r="B9" s="82" t="s">
        <v>112</v>
      </c>
      <c r="D9" s="133"/>
      <c r="E9" s="133"/>
      <c r="F9" s="133"/>
      <c r="G9" s="133"/>
      <c r="H9" s="133"/>
      <c r="I9" s="133"/>
      <c r="J9" s="75"/>
      <c r="K9" s="75"/>
      <c r="L9" s="75"/>
      <c r="M9" s="75"/>
      <c r="N9" s="73"/>
      <c r="O9" s="73"/>
      <c r="P9" s="73"/>
    </row>
    <row r="10" spans="1:26" ht="62.25" customHeight="1" x14ac:dyDescent="0.25">
      <c r="A10" s="99" t="s">
        <v>156</v>
      </c>
      <c r="B10" s="82" t="s">
        <v>113</v>
      </c>
      <c r="D10" s="134" t="s">
        <v>229</v>
      </c>
      <c r="E10" s="135"/>
      <c r="F10" s="135"/>
      <c r="G10" s="135"/>
      <c r="H10" s="135"/>
      <c r="I10" s="136"/>
      <c r="J10" s="75"/>
      <c r="K10" s="75"/>
      <c r="L10" s="75"/>
      <c r="M10" s="75"/>
      <c r="N10" s="78"/>
      <c r="O10" s="76"/>
      <c r="P10" s="76"/>
    </row>
    <row r="11" spans="1:26" ht="30" customHeight="1" x14ac:dyDescent="0.25">
      <c r="A11" s="99" t="s">
        <v>135</v>
      </c>
      <c r="B11" s="82" t="s">
        <v>126</v>
      </c>
      <c r="D11" s="137" t="s">
        <v>214</v>
      </c>
      <c r="E11" s="138"/>
      <c r="F11" s="138"/>
      <c r="G11" s="138"/>
      <c r="H11" s="138"/>
      <c r="I11" s="139"/>
      <c r="J11" s="75"/>
      <c r="K11" s="75"/>
      <c r="L11" s="75"/>
      <c r="M11" s="75"/>
      <c r="N11" s="79"/>
      <c r="O11" s="77"/>
      <c r="P11" s="77"/>
    </row>
    <row r="12" spans="1:26" ht="30" customHeight="1" x14ac:dyDescent="0.25">
      <c r="A12" s="99" t="s">
        <v>136</v>
      </c>
      <c r="B12" s="82" t="s">
        <v>114</v>
      </c>
      <c r="D12" s="140"/>
      <c r="E12" s="141"/>
      <c r="F12" s="141"/>
      <c r="G12" s="141"/>
      <c r="H12" s="141"/>
      <c r="I12" s="142"/>
      <c r="J12" s="75"/>
      <c r="K12" s="75"/>
      <c r="L12" s="75"/>
      <c r="M12" s="75"/>
      <c r="N12" s="79"/>
      <c r="O12" s="77"/>
      <c r="P12" s="77"/>
    </row>
    <row r="13" spans="1:26" ht="81.75" customHeight="1" x14ac:dyDescent="0.25">
      <c r="A13" s="99" t="s">
        <v>198</v>
      </c>
      <c r="B13" s="82" t="s">
        <v>115</v>
      </c>
      <c r="D13" s="133" t="s">
        <v>215</v>
      </c>
      <c r="E13" s="133"/>
      <c r="F13" s="133"/>
      <c r="G13" s="133"/>
      <c r="H13" s="133"/>
      <c r="I13" s="133"/>
      <c r="J13" s="75"/>
      <c r="K13" s="75"/>
      <c r="L13" s="75"/>
      <c r="M13" s="75"/>
      <c r="N13" s="73"/>
      <c r="O13" s="73"/>
      <c r="P13" s="73"/>
    </row>
    <row r="14" spans="1:26" ht="30" customHeight="1" x14ac:dyDescent="0.25">
      <c r="A14" s="99" t="s">
        <v>138</v>
      </c>
      <c r="B14" s="82" t="s">
        <v>116</v>
      </c>
      <c r="D14" s="133" t="s">
        <v>214</v>
      </c>
      <c r="E14" s="133"/>
      <c r="F14" s="133"/>
      <c r="G14" s="133"/>
      <c r="H14" s="133"/>
      <c r="I14" s="133"/>
      <c r="J14" s="75"/>
      <c r="K14" s="75"/>
      <c r="L14" s="75"/>
      <c r="M14" s="75"/>
      <c r="N14" s="79"/>
      <c r="O14" s="77"/>
      <c r="P14" s="77"/>
    </row>
    <row r="15" spans="1:26" ht="30" customHeight="1" x14ac:dyDescent="0.25">
      <c r="A15" s="99" t="s">
        <v>176</v>
      </c>
      <c r="B15" s="82" t="s">
        <v>117</v>
      </c>
      <c r="D15" s="133"/>
      <c r="E15" s="133"/>
      <c r="F15" s="133"/>
      <c r="G15" s="133"/>
      <c r="H15" s="133"/>
      <c r="I15" s="133"/>
      <c r="J15" s="75"/>
      <c r="K15" s="75"/>
      <c r="L15" s="75"/>
      <c r="M15" s="75"/>
      <c r="N15" s="79"/>
      <c r="O15" s="77"/>
      <c r="P15" s="77"/>
    </row>
    <row r="16" spans="1:26" ht="30" customHeight="1" x14ac:dyDescent="0.25">
      <c r="A16" s="99" t="s">
        <v>199</v>
      </c>
      <c r="B16" s="82" t="s">
        <v>118</v>
      </c>
      <c r="D16" s="133"/>
      <c r="E16" s="133"/>
      <c r="F16" s="133"/>
      <c r="G16" s="133"/>
      <c r="H16" s="133"/>
      <c r="I16" s="133"/>
      <c r="J16" s="75"/>
      <c r="K16" s="75"/>
      <c r="L16" s="75"/>
      <c r="M16" s="75"/>
      <c r="N16" s="79"/>
      <c r="O16" s="77"/>
      <c r="P16" s="77"/>
    </row>
    <row r="17" spans="1:16" ht="30" customHeight="1" x14ac:dyDescent="0.25">
      <c r="A17" s="99" t="s">
        <v>141</v>
      </c>
      <c r="B17" s="82" t="s">
        <v>119</v>
      </c>
      <c r="D17" s="133"/>
      <c r="E17" s="133"/>
      <c r="F17" s="133"/>
      <c r="G17" s="133"/>
      <c r="H17" s="133"/>
      <c r="I17" s="133"/>
      <c r="J17" s="75"/>
      <c r="K17" s="75"/>
      <c r="L17" s="75"/>
      <c r="M17" s="75"/>
      <c r="N17" s="79"/>
      <c r="O17" s="77"/>
      <c r="P17" s="77"/>
    </row>
    <row r="18" spans="1:16" ht="30" customHeight="1" x14ac:dyDescent="0.25">
      <c r="A18" s="99" t="s">
        <v>200</v>
      </c>
      <c r="B18" s="82" t="s">
        <v>120</v>
      </c>
      <c r="D18" s="133" t="s">
        <v>216</v>
      </c>
      <c r="E18" s="133"/>
      <c r="F18" s="133"/>
      <c r="G18" s="133"/>
      <c r="H18" s="133"/>
      <c r="I18" s="133"/>
      <c r="J18" s="74"/>
      <c r="K18" s="74"/>
      <c r="L18" s="74"/>
      <c r="M18" s="74"/>
      <c r="N18" s="73"/>
      <c r="O18" s="73"/>
      <c r="P18" s="73"/>
    </row>
    <row r="19" spans="1:16" ht="30" customHeight="1" x14ac:dyDescent="0.25">
      <c r="A19" s="99" t="s">
        <v>212</v>
      </c>
      <c r="B19" s="82" t="s">
        <v>121</v>
      </c>
      <c r="D19" s="133"/>
      <c r="E19" s="133"/>
      <c r="F19" s="133"/>
      <c r="G19" s="133"/>
      <c r="H19" s="133"/>
      <c r="I19" s="133"/>
      <c r="J19" s="74"/>
      <c r="K19" s="74"/>
      <c r="L19" s="74"/>
      <c r="M19" s="74"/>
      <c r="N19" s="73"/>
      <c r="O19" s="73"/>
      <c r="P19" s="73"/>
    </row>
    <row r="20" spans="1:16" ht="30" customHeight="1" x14ac:dyDescent="0.25">
      <c r="A20" s="99" t="s">
        <v>211</v>
      </c>
      <c r="B20" s="82" t="s">
        <v>122</v>
      </c>
      <c r="D20" s="133"/>
      <c r="E20" s="133"/>
      <c r="F20" s="133"/>
      <c r="G20" s="133"/>
      <c r="H20" s="133"/>
      <c r="I20" s="133"/>
      <c r="J20" s="74"/>
      <c r="K20" s="74"/>
      <c r="L20" s="74"/>
      <c r="M20" s="74"/>
      <c r="N20" s="73"/>
      <c r="O20" s="73"/>
      <c r="P20" s="73"/>
    </row>
    <row r="21" spans="1:16" ht="76.5" customHeight="1" x14ac:dyDescent="0.25">
      <c r="A21" s="99" t="s">
        <v>233</v>
      </c>
      <c r="B21" s="82" t="s">
        <v>123</v>
      </c>
      <c r="D21" s="133" t="s">
        <v>217</v>
      </c>
      <c r="E21" s="133"/>
      <c r="F21" s="133"/>
      <c r="G21" s="133"/>
      <c r="H21" s="133"/>
      <c r="I21" s="133"/>
      <c r="J21" s="74"/>
      <c r="K21" s="74"/>
      <c r="L21" s="74"/>
      <c r="M21" s="74"/>
      <c r="N21" s="73"/>
      <c r="O21" s="73"/>
      <c r="P21" s="73"/>
    </row>
    <row r="22" spans="1:16" ht="54.75" customHeight="1" x14ac:dyDescent="0.25">
      <c r="A22" s="99" t="s">
        <v>181</v>
      </c>
      <c r="B22" s="82" t="s">
        <v>107</v>
      </c>
      <c r="D22" s="133" t="s">
        <v>230</v>
      </c>
      <c r="E22" s="133"/>
      <c r="F22" s="133"/>
      <c r="G22" s="133"/>
      <c r="H22" s="133"/>
      <c r="I22" s="133"/>
      <c r="J22" s="80"/>
      <c r="K22" s="80"/>
      <c r="L22" s="80"/>
      <c r="M22" s="80"/>
      <c r="N22" s="78"/>
      <c r="O22" s="76"/>
      <c r="P22" s="76"/>
    </row>
    <row r="23" spans="1:16" ht="39.950000000000003" customHeight="1" x14ac:dyDescent="0.25">
      <c r="A23" s="99" t="s">
        <v>201</v>
      </c>
      <c r="B23" s="82" t="s">
        <v>124</v>
      </c>
      <c r="D23" s="133"/>
      <c r="E23" s="133"/>
      <c r="F23" s="133"/>
      <c r="G23" s="133"/>
      <c r="H23" s="133"/>
      <c r="I23" s="133"/>
      <c r="J23" s="80"/>
      <c r="K23" s="80"/>
      <c r="L23" s="80"/>
      <c r="M23" s="80"/>
      <c r="N23" s="78"/>
      <c r="O23" s="76"/>
      <c r="P23" s="76"/>
    </row>
    <row r="24" spans="1:16" ht="75.75" customHeight="1" x14ac:dyDescent="0.25">
      <c r="A24" s="99" t="s">
        <v>183</v>
      </c>
      <c r="B24" s="82" t="s">
        <v>125</v>
      </c>
      <c r="D24" s="133" t="s">
        <v>231</v>
      </c>
      <c r="E24" s="133"/>
      <c r="F24" s="133"/>
      <c r="G24" s="133"/>
      <c r="H24" s="133"/>
      <c r="I24" s="133"/>
      <c r="J24" s="81"/>
      <c r="K24" s="81"/>
      <c r="L24" s="81"/>
      <c r="M24" s="81"/>
      <c r="N24" s="79"/>
      <c r="O24" s="77"/>
      <c r="P24" s="77"/>
    </row>
  </sheetData>
  <mergeCells count="18">
    <mergeCell ref="W1:Z1"/>
    <mergeCell ref="D13:I13"/>
    <mergeCell ref="D14:I17"/>
    <mergeCell ref="W2:Z3"/>
    <mergeCell ref="D6:I6"/>
    <mergeCell ref="D7:I9"/>
    <mergeCell ref="H1:I1"/>
    <mergeCell ref="J1:K1"/>
    <mergeCell ref="M1:N1"/>
    <mergeCell ref="Q1:R1"/>
    <mergeCell ref="O1:P1"/>
    <mergeCell ref="N6:P6"/>
    <mergeCell ref="D11:I12"/>
    <mergeCell ref="D10:I10"/>
    <mergeCell ref="D24:I24"/>
    <mergeCell ref="D18:I20"/>
    <mergeCell ref="D21:I21"/>
    <mergeCell ref="D22:I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4</vt:i4>
      </vt:variant>
    </vt:vector>
  </HeadingPairs>
  <TitlesOfParts>
    <vt:vector size="7" baseType="lpstr">
      <vt:lpstr>CAES</vt:lpstr>
      <vt:lpstr>Data</vt:lpstr>
      <vt:lpstr>Uncertanties</vt:lpstr>
      <vt:lpstr>URTI_L</vt:lpstr>
      <vt:lpstr>URTI_U</vt:lpstr>
      <vt:lpstr>15_EC</vt:lpstr>
      <vt:lpstr>16_CC</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Roberto Ulises Ruiz Saucedo</cp:lastModifiedBy>
  <cp:revision/>
  <dcterms:created xsi:type="dcterms:W3CDTF">2020-01-17T09:15:11Z</dcterms:created>
  <dcterms:modified xsi:type="dcterms:W3CDTF">2020-10-12T22:01:59Z</dcterms:modified>
</cp:coreProperties>
</file>