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I:\03-PROY ALM ENE\04-INFORMES ESP\02\Tablas V11 ESPAÑOL\"/>
    </mc:Choice>
  </mc:AlternateContent>
  <xr:revisionPtr revIDLastSave="0" documentId="13_ncr:1_{4D0E4410-8824-4979-B91A-E63C12733F04}" xr6:coauthVersionLast="45" xr6:coauthVersionMax="45" xr10:uidLastSave="{00000000-0000-0000-0000-000000000000}"/>
  <bookViews>
    <workbookView xWindow="-120" yWindow="-120" windowWidth="29040" windowHeight="15840" activeTab="2" xr2:uid="{00000000-000D-0000-FFFF-FFFF00000000}"/>
  </bookViews>
  <sheets>
    <sheet name="NaS" sheetId="1" r:id="rId1"/>
    <sheet name="Data" sheetId="2" r:id="rId2"/>
    <sheet name="Uncertanties" sheetId="10" r:id="rId3"/>
    <sheet name="03URT_L" sheetId="11" r:id="rId4"/>
    <sheet name="03URT_U" sheetId="12" r:id="rId5"/>
    <sheet name="04UTL_L" sheetId="13" r:id="rId6"/>
    <sheet name="04UTL_U" sheetId="14" r:id="rId7"/>
    <sheet name="05UOP_L" sheetId="15" r:id="rId8"/>
    <sheet name="05UOP_U" sheetId="16" r:id="rId9"/>
    <sheet name="17_EC" sheetId="4" r:id="rId10"/>
    <sheet name="18_CC" sheetId="5" r:id="rId11"/>
    <sheet name="06ULT_L" sheetId="17" r:id="rId12"/>
  </sheets>
  <externalReferences>
    <externalReference r:id="rId13"/>
    <externalReference r:id="rId14"/>
    <externalReference r:id="rId15"/>
  </externalReferences>
  <definedNames>
    <definedName name="BTV11_15">'[1]arbejds ark LARGE New'!$K$33</definedName>
    <definedName name="BVT17_15">'[1]arbejds ark LARGE New'!$S$67</definedName>
    <definedName name="EUR16tilEUR15">'[1]22 Photovoltaics  LARGE Old'!$N$2</definedName>
    <definedName name="Index">#REF!</definedName>
    <definedName name="Sheet">#REF!</definedName>
    <definedName name="Start10" localSheetId="0">'[2]Li-Ion Battery'!#REF!</definedName>
    <definedName name="Start10">'[3]03 Lithium Ion Battery'!#REF!</definedName>
    <definedName name="Start11" localSheetId="0">#REF!</definedName>
    <definedName name="Start12" localSheetId="0">NaS!#REF!</definedName>
    <definedName name="Start13" localSheetId="0">#REF!</definedName>
    <definedName name="Start13">#REF!</definedName>
    <definedName name="Start14" localSheetId="0">#REF!</definedName>
    <definedName name="Start14">#REF!</definedName>
    <definedName name="Start15" localSheetId="0">#REF!</definedName>
    <definedName name="Start15">#REF!</definedName>
    <definedName name="Start16" localSheetId="0">#REF!</definedName>
    <definedName name="Start16">#REF!</definedName>
    <definedName name="Start17" localSheetId="0">#REF!</definedName>
    <definedName name="Start17">#REF!</definedName>
    <definedName name="Start18" localSheetId="0">#REF!</definedName>
    <definedName name="Start18">#REF!</definedName>
    <definedName name="Start19" localSheetId="0">#REF!</definedName>
    <definedName name="Start19">#REF!</definedName>
    <definedName name="Start2">#REF!</definedName>
    <definedName name="Start20" localSheetId="0">#REF!</definedName>
    <definedName name="Start20">#REF!</definedName>
    <definedName name="Start21" localSheetId="0">#REF!</definedName>
    <definedName name="Start21">#REF!</definedName>
    <definedName name="Start22" localSheetId="0">#REF!</definedName>
    <definedName name="Start22">#REF!</definedName>
    <definedName name="Start23" localSheetId="0">#REF!</definedName>
    <definedName name="Start23">#REF!</definedName>
    <definedName name="Start24" localSheetId="0">#REF!</definedName>
    <definedName name="Start24">#REF!</definedName>
    <definedName name="Start25" localSheetId="0">#REF!</definedName>
    <definedName name="Start25">#REF!</definedName>
    <definedName name="Start26" localSheetId="0">#REF!</definedName>
    <definedName name="Start26">#REF!</definedName>
    <definedName name="Start27" localSheetId="0">#REF!</definedName>
    <definedName name="Start27">#REF!</definedName>
    <definedName name="Start28" localSheetId="0">#REF!</definedName>
    <definedName name="Start28">#REF!</definedName>
    <definedName name="Start29" localSheetId="0">#REF!</definedName>
    <definedName name="Start29">#REF!</definedName>
    <definedName name="Start3">#REF!</definedName>
    <definedName name="Start30" localSheetId="0">#REF!</definedName>
    <definedName name="Start30">#REF!</definedName>
    <definedName name="Start31" localSheetId="0">#REF!</definedName>
    <definedName name="Start31">#REF!</definedName>
    <definedName name="Start32" localSheetId="0">#REF!</definedName>
    <definedName name="Start32">#REF!</definedName>
    <definedName name="Start33" localSheetId="0">#REF!</definedName>
    <definedName name="Start33">#REF!</definedName>
    <definedName name="Start34" localSheetId="0">#REF!</definedName>
    <definedName name="Start34">#REF!</definedName>
    <definedName name="Start35" localSheetId="0">#REF!</definedName>
    <definedName name="Start35">#REF!</definedName>
    <definedName name="Start36" localSheetId="0">#REF!</definedName>
    <definedName name="Start36">#REF!</definedName>
    <definedName name="Start37" localSheetId="0">#REF!</definedName>
    <definedName name="Start37">#REF!</definedName>
    <definedName name="Start38" localSheetId="0">#REF!</definedName>
    <definedName name="Start38">#REF!</definedName>
    <definedName name="Start39" localSheetId="0">#REF!</definedName>
    <definedName name="Start39">#REF!</definedName>
    <definedName name="Start4">#REF!</definedName>
    <definedName name="Start40" localSheetId="0">#REF!</definedName>
    <definedName name="Start40">#REF!</definedName>
    <definedName name="Start41" localSheetId="0">#REF!</definedName>
    <definedName name="Start41">#REF!</definedName>
    <definedName name="Start42" localSheetId="0">#REF!</definedName>
    <definedName name="Start42">#REF!</definedName>
    <definedName name="Start43" localSheetId="0">#REF!</definedName>
    <definedName name="Start43">#REF!</definedName>
    <definedName name="Start44" localSheetId="0">#REF!</definedName>
    <definedName name="Start44">#REF!</definedName>
    <definedName name="Start45" localSheetId="0">#REF!</definedName>
    <definedName name="Start45">#REF!</definedName>
    <definedName name="Start46" localSheetId="0">#REF!</definedName>
    <definedName name="Start46">#REF!</definedName>
    <definedName name="Start47" localSheetId="0">#REF!</definedName>
    <definedName name="Start47">#REF!</definedName>
    <definedName name="Start5">#REF!</definedName>
    <definedName name="Start6">#REF!</definedName>
    <definedName name="Start7" localSheetId="0">#REF!</definedName>
    <definedName name="Start7">#REF!</definedName>
    <definedName name="Start8" localSheetId="0">[2]CAES!#REF!</definedName>
    <definedName name="Start9" localSheetId="0">[2]Flywheels!#REF!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 i="2" l="1"/>
  <c r="I19" i="2"/>
  <c r="O19" i="2" s="1"/>
  <c r="K21" i="2" l="1"/>
  <c r="K20" i="2"/>
  <c r="I21" i="2"/>
  <c r="O21" i="2" s="1"/>
  <c r="I20" i="2"/>
  <c r="O20" i="2" s="1"/>
  <c r="F8" i="2"/>
  <c r="F7" i="2"/>
  <c r="P20" i="2" l="1"/>
  <c r="F27" i="1" s="1"/>
  <c r="E27" i="1"/>
  <c r="P21" i="2"/>
  <c r="F28" i="1" s="1"/>
  <c r="E28" i="1"/>
  <c r="F5" i="2"/>
  <c r="H5" i="2" s="1"/>
  <c r="J5" i="2" s="1"/>
  <c r="F4" i="2"/>
  <c r="H4" i="2" s="1"/>
  <c r="J4" i="2" s="1"/>
  <c r="F3" i="2"/>
  <c r="H3" i="2" s="1"/>
  <c r="H25" i="2" l="1"/>
  <c r="H24" i="2"/>
  <c r="J3" i="2"/>
  <c r="F25" i="2"/>
  <c r="F24" i="2"/>
  <c r="I12" i="2"/>
  <c r="J25" i="2" l="1"/>
  <c r="J24" i="2"/>
  <c r="J18" i="2"/>
  <c r="F25" i="1" s="1"/>
  <c r="H18" i="2"/>
  <c r="F18" i="2"/>
  <c r="J17" i="2"/>
  <c r="F16" i="2" l="1"/>
  <c r="F22" i="2"/>
  <c r="F24" i="1"/>
  <c r="J22" i="2"/>
  <c r="J16" i="2"/>
  <c r="H22" i="2"/>
  <c r="H16" i="2"/>
  <c r="J28" i="1"/>
  <c r="I28" i="1"/>
  <c r="H28" i="1"/>
  <c r="G28" i="1"/>
  <c r="D28" i="1"/>
  <c r="J27" i="1"/>
  <c r="I27" i="1"/>
  <c r="H27" i="1"/>
  <c r="G27" i="1"/>
  <c r="J34" i="1" l="1"/>
  <c r="J33" i="1"/>
  <c r="I34" i="1"/>
  <c r="I33" i="1"/>
  <c r="N6" i="10"/>
  <c r="Q6" i="10"/>
  <c r="U6" i="10" s="1"/>
  <c r="P6" i="10"/>
  <c r="T6" i="10" s="1"/>
  <c r="M6" i="10"/>
  <c r="O6" i="10" s="1"/>
  <c r="J18" i="1" s="1"/>
  <c r="L6" i="10"/>
  <c r="G18" i="1" s="1"/>
  <c r="O5" i="10"/>
  <c r="N5" i="10"/>
  <c r="Z5" i="10"/>
  <c r="Q5" i="10"/>
  <c r="AA5" i="10" s="1"/>
  <c r="P5" i="10"/>
  <c r="M5" i="10"/>
  <c r="H26" i="1" s="1"/>
  <c r="L5" i="10"/>
  <c r="Z4" i="10" s="1"/>
  <c r="O4" i="10"/>
  <c r="N4" i="10"/>
  <c r="Q4" i="10"/>
  <c r="X4" i="10" s="1"/>
  <c r="P4" i="10"/>
  <c r="W4" i="10" s="1"/>
  <c r="M4" i="10"/>
  <c r="H16" i="1" s="1"/>
  <c r="L4" i="10"/>
  <c r="W3" i="10" s="1"/>
  <c r="O3" i="10"/>
  <c r="N3" i="10"/>
  <c r="Q3" i="10"/>
  <c r="U3" i="10" s="1"/>
  <c r="P3" i="10"/>
  <c r="T3" i="10" s="1"/>
  <c r="M3" i="10"/>
  <c r="U2" i="10" s="1"/>
  <c r="L3" i="10"/>
  <c r="G10" i="1" s="1"/>
  <c r="G11" i="1" s="1"/>
  <c r="G12" i="1" s="1"/>
  <c r="D11" i="1"/>
  <c r="D12" i="1" s="1"/>
  <c r="G16" i="1" l="1"/>
  <c r="AA4" i="10"/>
  <c r="T2" i="10"/>
  <c r="T5" i="10"/>
  <c r="H18" i="1"/>
  <c r="X3" i="10"/>
  <c r="G26" i="1"/>
  <c r="U5" i="10"/>
  <c r="H10" i="1"/>
  <c r="H11" i="1" s="1"/>
  <c r="H12" i="1" s="1"/>
  <c r="J8" i="1"/>
  <c r="J9" i="1" s="1"/>
  <c r="I8" i="1"/>
  <c r="I31" i="1" s="1"/>
  <c r="H8" i="1"/>
  <c r="G8" i="1"/>
  <c r="J32" i="1" l="1"/>
  <c r="G32" i="1"/>
  <c r="G31" i="1"/>
  <c r="H32" i="1"/>
  <c r="H31" i="1"/>
  <c r="J31" i="1"/>
  <c r="G9" i="1"/>
  <c r="I32" i="1"/>
  <c r="H9" i="1"/>
  <c r="I9" i="1"/>
  <c r="R5" i="2"/>
  <c r="R4" i="2"/>
  <c r="G30" i="1"/>
  <c r="H23" i="1" l="1"/>
  <c r="G23" i="1"/>
  <c r="H30" i="1"/>
  <c r="F8" i="1"/>
  <c r="E8" i="1"/>
  <c r="D8" i="1"/>
  <c r="D23" i="1" l="1"/>
  <c r="D30" i="1"/>
  <c r="D9" i="1"/>
  <c r="D31" i="1"/>
  <c r="E9" i="1"/>
  <c r="E31" i="1"/>
  <c r="E32" i="1"/>
  <c r="D32" i="1"/>
  <c r="F9" i="1"/>
  <c r="F31" i="1"/>
  <c r="F32" i="1"/>
  <c r="K12" i="2" l="1"/>
  <c r="O12" i="2"/>
  <c r="K6" i="2"/>
  <c r="I6" i="2"/>
  <c r="O6" i="2" s="1"/>
  <c r="H8" i="2" l="1"/>
  <c r="H7" i="2"/>
  <c r="E10" i="1"/>
  <c r="P12" i="2"/>
  <c r="F16" i="1" s="1"/>
  <c r="P6" i="2"/>
  <c r="E26" i="1"/>
  <c r="P19" i="2"/>
  <c r="F26" i="1" s="1"/>
  <c r="E16" i="1"/>
  <c r="F10" i="1" l="1"/>
  <c r="F11" i="1" s="1"/>
  <c r="F12" i="1" s="1"/>
  <c r="J8" i="2"/>
  <c r="J7" i="2"/>
  <c r="J10" i="1"/>
  <c r="J11" i="1" s="1"/>
  <c r="J12" i="1" s="1"/>
  <c r="E11" i="1"/>
  <c r="E12" i="1" s="1"/>
  <c r="I10" i="1"/>
  <c r="I11" i="1" s="1"/>
  <c r="I12" i="1" s="1"/>
  <c r="J26" i="1"/>
  <c r="I26" i="1"/>
  <c r="E30" i="1"/>
  <c r="E23" i="1"/>
  <c r="J16" i="1"/>
  <c r="I16" i="1"/>
  <c r="F30" i="1"/>
  <c r="F23" i="1"/>
  <c r="I23" i="1" l="1"/>
  <c r="I30" i="1"/>
  <c r="J30" i="1"/>
  <c r="J23" i="1"/>
</calcChain>
</file>

<file path=xl/sharedStrings.xml><?xml version="1.0" encoding="utf-8"?>
<sst xmlns="http://schemas.openxmlformats.org/spreadsheetml/2006/main" count="363" uniqueCount="249">
  <si>
    <t>Technology</t>
  </si>
  <si>
    <t>Ref</t>
  </si>
  <si>
    <t>Energy/technical data</t>
  </si>
  <si>
    <t>Form of energy stored</t>
  </si>
  <si>
    <t>Application</t>
  </si>
  <si>
    <t>Energy storage capacity for one unit (MWh)</t>
  </si>
  <si>
    <t>[1]</t>
  </si>
  <si>
    <t>Output capacity for one unit (MW)</t>
  </si>
  <si>
    <t>Input capacity for one unit (MW)</t>
  </si>
  <si>
    <t>A</t>
  </si>
  <si>
    <t>Round trip efficiency - DC (%)</t>
  </si>
  <si>
    <t>[2], [3], [4], [5]</t>
  </si>
  <si>
    <t>[2]</t>
  </si>
  <si>
    <t xml:space="preserve"> - Discharge efficiency (%)</t>
  </si>
  <si>
    <t>Energy losses during storage (%/day)</t>
  </si>
  <si>
    <t>Forced outage (%)</t>
  </si>
  <si>
    <t>B</t>
  </si>
  <si>
    <t>Planned outage (weeks per year)</t>
  </si>
  <si>
    <t>C</t>
  </si>
  <si>
    <t>Technical lifetime (years)</t>
  </si>
  <si>
    <t xml:space="preserve"> [2], [4], [5]</t>
  </si>
  <si>
    <t>Construction time (years)</t>
  </si>
  <si>
    <t xml:space="preserve"> [2]</t>
  </si>
  <si>
    <t>Regulation ability</t>
  </si>
  <si>
    <t>Response time from idle to full-rated discharge (sec)</t>
  </si>
  <si>
    <t>D</t>
  </si>
  <si>
    <t>Response time from full-rated charge to full-rated discharge (sec)</t>
  </si>
  <si>
    <t xml:space="preserve">Financial data                                 </t>
  </si>
  <si>
    <t xml:space="preserve"> - energy component (MUSD/MWh)</t>
  </si>
  <si>
    <t xml:space="preserve"> - capacity component (MUSD/MW) </t>
  </si>
  <si>
    <t>G</t>
  </si>
  <si>
    <t xml:space="preserve"> - other project costs (MUSD/MWh)</t>
  </si>
  <si>
    <t>H</t>
  </si>
  <si>
    <t>I</t>
  </si>
  <si>
    <t>Technology specific data</t>
  </si>
  <si>
    <t>Alternative Investment cost (MUSD2020/MW)</t>
  </si>
  <si>
    <t>Lifetime in total number of cycles</t>
  </si>
  <si>
    <t>Specific power (W/kg)</t>
  </si>
  <si>
    <t>Power density (W/m3)</t>
  </si>
  <si>
    <t>Specific energy (Wh/kg)</t>
  </si>
  <si>
    <t>Energy density (Wh/m3)</t>
  </si>
  <si>
    <t>IRENA (2017). Electricity storage and renewables: Costs and markets to 2030. Cost of service tool. Available in: https://www.irena.org/publications/2017/Oct/Electricity-storage-and-renewables-costs-and-markets</t>
  </si>
  <si>
    <t>Danish Energy Agency. (2019). Technogy Data for Energy Storage. Copenhagen, Denmark. Retrieved from https://ens.dk/sites/ens.dk/files/Analyser/technology_data_catalogue_for_energy_storage.pdf</t>
  </si>
  <si>
    <t>[3]</t>
  </si>
  <si>
    <t>Subburaj, A. S., Pushpakaran, B. N., &amp; Bayne, S. B. (2015). Overview of grid connected renewable energy based battery projects in USA. Renewable and Sustainable Energy Reviews, 45, 219–234. https://doi.org/https://doi.org/10.1016/j.rser.2015.01.052</t>
  </si>
  <si>
    <t>[4]</t>
  </si>
  <si>
    <t>IRENA, Battery storage technology improvements and cost reductions to 2030: A Deep Dive, March 2017, https://www.irena.org/-/media/Files/IRENA/Agency/Events/2017/Mar/15/2017_Kairies_Battery_Cost_and_Performance_01.pd</t>
  </si>
  <si>
    <t>[5]</t>
  </si>
  <si>
    <t>Technical Data</t>
  </si>
  <si>
    <t>30 - 20</t>
  </si>
  <si>
    <t>50 - 30</t>
  </si>
  <si>
    <t>Lifetime in Total Number of Cycle</t>
  </si>
  <si>
    <t>Specific Energy (Wh/kg)</t>
  </si>
  <si>
    <t>Energy Density (Wh/m3)</t>
  </si>
  <si>
    <t>[1], [2]</t>
  </si>
  <si>
    <t>[6]</t>
  </si>
  <si>
    <t>[7]</t>
  </si>
  <si>
    <t>Variable O&amp;M (USD2020/MWh)</t>
  </si>
  <si>
    <t>Year</t>
  </si>
  <si>
    <t>Lower (%)</t>
  </si>
  <si>
    <t>Upper (%)</t>
  </si>
  <si>
    <t xml:space="preserve">Lifetime in Total Number of Cycles </t>
  </si>
  <si>
    <t>Schmidt, O., Melchior, S., Hawkes, A., &amp; Staffell, I. (2019). Projecting the Future Levelized Cost of Electricity Storage Technologies. Joule, 3(1), 81–100. https://doi.org/10.1016/j.joule.2018.12.008</t>
  </si>
  <si>
    <t>Fixed O&amp;M (kUSD2020/MW)</t>
  </si>
  <si>
    <t>E</t>
  </si>
  <si>
    <t>F</t>
  </si>
  <si>
    <t>G,H,I</t>
  </si>
  <si>
    <t>ABB</t>
  </si>
  <si>
    <t>ESC</t>
  </si>
  <si>
    <t>OCO</t>
  </si>
  <si>
    <t>ICO</t>
  </si>
  <si>
    <t>RTE</t>
  </si>
  <si>
    <t>CE</t>
  </si>
  <si>
    <t>DE</t>
  </si>
  <si>
    <t>ELS</t>
  </si>
  <si>
    <t>FO</t>
  </si>
  <si>
    <t>PO</t>
  </si>
  <si>
    <t>TL</t>
  </si>
  <si>
    <t>CT</t>
  </si>
  <si>
    <t>RTI</t>
  </si>
  <si>
    <t>RTF</t>
  </si>
  <si>
    <t>SI</t>
  </si>
  <si>
    <t>EC</t>
  </si>
  <si>
    <t>CC</t>
  </si>
  <si>
    <t>OPC</t>
  </si>
  <si>
    <t>FOM</t>
  </si>
  <si>
    <t>VOM</t>
  </si>
  <si>
    <t>AIC</t>
  </si>
  <si>
    <t>LTN</t>
  </si>
  <si>
    <t>SP</t>
  </si>
  <si>
    <t>PD</t>
  </si>
  <si>
    <t>SE</t>
  </si>
  <si>
    <t>ED</t>
  </si>
  <si>
    <t>NOTE</t>
  </si>
  <si>
    <t>Specific investment (MUSD2020 per MWh)</t>
  </si>
  <si>
    <t xml:space="preserve"> [1]</t>
  </si>
  <si>
    <r>
      <t xml:space="preserve">Diaz-Gonzalez, F., Sumper, A., &amp; Gomis-Bellmunt, O. (2016). Energy Storage Technologies. In </t>
    </r>
    <r>
      <rPr>
        <i/>
        <sz val="10"/>
        <color theme="1"/>
        <rFont val="Montserrat Medium"/>
        <family val="3"/>
      </rPr>
      <t>Energy Storage in Power Systems</t>
    </r>
    <r>
      <rPr>
        <sz val="10"/>
        <color theme="1"/>
        <rFont val="Montserrat Medium"/>
        <family val="3"/>
      </rPr>
      <t xml:space="preserve"> (pp. 93–141). John Wiley &amp; Sons, Ltd. https://doi.org/10.1002/9781118971291.ch4</t>
    </r>
  </si>
  <si>
    <r>
      <t xml:space="preserve">Zakeri, B., &amp; Syri, S. (2015). Electrical energy storage systems: A comparative life cycle cost analysis. </t>
    </r>
    <r>
      <rPr>
        <i/>
        <sz val="10"/>
        <color theme="1"/>
        <rFont val="Montserrat Medium"/>
        <family val="3"/>
      </rPr>
      <t>Renewable and Sustainable Energy Reviews</t>
    </r>
    <r>
      <rPr>
        <sz val="10"/>
        <color theme="1"/>
        <rFont val="Montserrat Medium"/>
        <family val="3"/>
      </rPr>
      <t xml:space="preserve">, </t>
    </r>
    <r>
      <rPr>
        <i/>
        <sz val="10"/>
        <color theme="1"/>
        <rFont val="Montserrat Medium"/>
        <family val="3"/>
      </rPr>
      <t>42</t>
    </r>
    <r>
      <rPr>
        <sz val="10"/>
        <color theme="1"/>
        <rFont val="Montserrat Medium"/>
        <family val="3"/>
      </rPr>
      <t>, 569–596. https://doi.org/10.1016/j.rser.2014.10.011</t>
    </r>
  </si>
  <si>
    <r>
      <t xml:space="preserve">Alternative Investment Cost </t>
    </r>
    <r>
      <rPr>
        <sz val="10"/>
        <color theme="1"/>
        <rFont val="Montserrat Medium"/>
        <family val="3"/>
      </rPr>
      <t>(MUSD2020 per MW)</t>
    </r>
  </si>
  <si>
    <r>
      <t>Specific Power</t>
    </r>
    <r>
      <rPr>
        <sz val="10"/>
        <color theme="1"/>
        <rFont val="Montserrat Medium"/>
        <family val="3"/>
      </rPr>
      <t xml:space="preserve"> (W/kg)</t>
    </r>
  </si>
  <si>
    <r>
      <t>Power Density</t>
    </r>
    <r>
      <rPr>
        <sz val="10"/>
        <color theme="1"/>
        <rFont val="Montserrat Medium"/>
        <family val="3"/>
      </rPr>
      <t xml:space="preserve"> (W/m3)</t>
    </r>
  </si>
  <si>
    <r>
      <t xml:space="preserve">Energy Storage Capacity for One Unit </t>
    </r>
    <r>
      <rPr>
        <sz val="10"/>
        <color theme="1"/>
        <rFont val="Montserrat Medium"/>
        <family val="3"/>
      </rPr>
      <t>(MWh)</t>
    </r>
  </si>
  <si>
    <r>
      <t xml:space="preserve">Output Capacity for One Unit </t>
    </r>
    <r>
      <rPr>
        <sz val="10"/>
        <color theme="1"/>
        <rFont val="Montserrat Medium"/>
        <family val="3"/>
      </rPr>
      <t>(MW)</t>
    </r>
  </si>
  <si>
    <r>
      <t>Input Capacity for One Unit</t>
    </r>
    <r>
      <rPr>
        <sz val="10"/>
        <color theme="1"/>
        <rFont val="Montserrat Medium"/>
        <family val="3"/>
      </rPr>
      <t xml:space="preserve"> (MW)</t>
    </r>
  </si>
  <si>
    <r>
      <t xml:space="preserve">Round Trip Efficiency </t>
    </r>
    <r>
      <rPr>
        <sz val="10"/>
        <color theme="1"/>
        <rFont val="Montserrat Medium"/>
        <family val="3"/>
      </rPr>
      <t>(%)</t>
    </r>
  </si>
  <si>
    <r>
      <t xml:space="preserve">Charge Efficiency </t>
    </r>
    <r>
      <rPr>
        <sz val="10"/>
        <color theme="1"/>
        <rFont val="Montserrat Medium"/>
        <family val="3"/>
      </rPr>
      <t>(%)</t>
    </r>
  </si>
  <si>
    <r>
      <t xml:space="preserve">Discharge Efficiency </t>
    </r>
    <r>
      <rPr>
        <sz val="10"/>
        <color theme="1"/>
        <rFont val="Montserrat Medium"/>
        <family val="3"/>
      </rPr>
      <t>(%)</t>
    </r>
  </si>
  <si>
    <r>
      <t xml:space="preserve">Energy Losses during Storage </t>
    </r>
    <r>
      <rPr>
        <sz val="10"/>
        <color theme="1"/>
        <rFont val="Montserrat Medium"/>
        <family val="3"/>
      </rPr>
      <t>(%/day)</t>
    </r>
  </si>
  <si>
    <r>
      <t xml:space="preserve">Forced Outage </t>
    </r>
    <r>
      <rPr>
        <sz val="10"/>
        <color theme="1"/>
        <rFont val="Montserrat Medium"/>
        <family val="3"/>
      </rPr>
      <t>(%)</t>
    </r>
  </si>
  <si>
    <r>
      <t xml:space="preserve">Planned Outage </t>
    </r>
    <r>
      <rPr>
        <sz val="10"/>
        <color theme="1"/>
        <rFont val="Montserrat Medium"/>
        <family val="3"/>
      </rPr>
      <t>(weeks per year)</t>
    </r>
  </si>
  <si>
    <r>
      <t xml:space="preserve">Technical Lifetime </t>
    </r>
    <r>
      <rPr>
        <sz val="10"/>
        <color theme="1"/>
        <rFont val="Montserrat Medium"/>
        <family val="3"/>
      </rPr>
      <t>(years)</t>
    </r>
  </si>
  <si>
    <r>
      <t xml:space="preserve">Construction Time </t>
    </r>
    <r>
      <rPr>
        <sz val="10"/>
        <color theme="1"/>
        <rFont val="Montserrat Medium"/>
        <family val="3"/>
      </rPr>
      <t>(years)</t>
    </r>
  </si>
  <si>
    <r>
      <t xml:space="preserve">Response Time from Idle to Full-Rated Discharge </t>
    </r>
    <r>
      <rPr>
        <sz val="10"/>
        <color theme="1"/>
        <rFont val="Montserrat Medium"/>
        <family val="3"/>
      </rPr>
      <t>(sec)</t>
    </r>
  </si>
  <si>
    <r>
      <t xml:space="preserve">Response Time from Full-Rated Charge to Full-Rated Discharge </t>
    </r>
    <r>
      <rPr>
        <sz val="10"/>
        <color theme="1"/>
        <rFont val="Montserrat Medium"/>
        <family val="3"/>
      </rPr>
      <t>(sec)</t>
    </r>
  </si>
  <si>
    <r>
      <t xml:space="preserve">Specific Investment </t>
    </r>
    <r>
      <rPr>
        <sz val="10"/>
        <color theme="1"/>
        <rFont val="Montserrat Medium"/>
        <family val="3"/>
      </rPr>
      <t>(MUSD2015 per MWh)</t>
    </r>
  </si>
  <si>
    <r>
      <t xml:space="preserve">Energy Component </t>
    </r>
    <r>
      <rPr>
        <sz val="10"/>
        <color theme="1"/>
        <rFont val="Montserrat Medium"/>
        <family val="3"/>
      </rPr>
      <t>(MUSD2015 per MWh)</t>
    </r>
  </si>
  <si>
    <r>
      <t xml:space="preserve">Capacity Component </t>
    </r>
    <r>
      <rPr>
        <sz val="10"/>
        <color theme="1"/>
        <rFont val="Montserrat Medium"/>
        <family val="3"/>
      </rPr>
      <t>(MUSD per MW)</t>
    </r>
  </si>
  <si>
    <r>
      <t xml:space="preserve">Other Project Costs </t>
    </r>
    <r>
      <rPr>
        <sz val="10"/>
        <color theme="1"/>
        <rFont val="Montserrat Medium"/>
        <family val="3"/>
      </rPr>
      <t>(MUSD/MWh)</t>
    </r>
  </si>
  <si>
    <r>
      <t xml:space="preserve">Fixed O&amp;M </t>
    </r>
    <r>
      <rPr>
        <sz val="10"/>
        <color theme="1"/>
        <rFont val="Montserrat Medium"/>
        <family val="3"/>
      </rPr>
      <t>(MUSD2020/kW/year)</t>
    </r>
  </si>
  <si>
    <r>
      <t xml:space="preserve">Variable O&amp;M </t>
    </r>
    <r>
      <rPr>
        <sz val="10"/>
        <color theme="1"/>
        <rFont val="Montserrat Medium"/>
        <family val="3"/>
      </rPr>
      <t>(MUSD2020/MW/year)</t>
    </r>
  </si>
  <si>
    <r>
      <t xml:space="preserve">Other Project Cost </t>
    </r>
    <r>
      <rPr>
        <sz val="10"/>
        <color theme="1"/>
        <rFont val="Montserrat Medium"/>
        <family val="3"/>
      </rPr>
      <t>(MUSD/MWh)</t>
    </r>
  </si>
  <si>
    <r>
      <t xml:space="preserve">Energy storage capacity for one unit </t>
    </r>
    <r>
      <rPr>
        <sz val="10"/>
        <color theme="1"/>
        <rFont val="Montserrat Medium"/>
        <family val="3"/>
      </rPr>
      <t>(MWh)</t>
    </r>
  </si>
  <si>
    <r>
      <t xml:space="preserve">Output capacity for one unit </t>
    </r>
    <r>
      <rPr>
        <sz val="10"/>
        <color theme="1"/>
        <rFont val="Montserrat Medium"/>
        <family val="3"/>
      </rPr>
      <t>(MW)</t>
    </r>
  </si>
  <si>
    <r>
      <t xml:space="preserve">Input capacity for one unit </t>
    </r>
    <r>
      <rPr>
        <sz val="10"/>
        <color theme="1"/>
        <rFont val="Montserrat Medium"/>
        <family val="3"/>
      </rPr>
      <t>(MW)</t>
    </r>
  </si>
  <si>
    <r>
      <t xml:space="preserve">Energy losses during storage </t>
    </r>
    <r>
      <rPr>
        <sz val="10"/>
        <color theme="1"/>
        <rFont val="Montserrat Medium"/>
        <family val="3"/>
      </rPr>
      <t>(%/day)</t>
    </r>
  </si>
  <si>
    <r>
      <t xml:space="preserve">Forced outage </t>
    </r>
    <r>
      <rPr>
        <sz val="10"/>
        <color theme="1"/>
        <rFont val="Montserrat Medium"/>
        <family val="3"/>
      </rPr>
      <t>(%)</t>
    </r>
  </si>
  <si>
    <r>
      <t xml:space="preserve">Planned outage </t>
    </r>
    <r>
      <rPr>
        <sz val="10"/>
        <color theme="1"/>
        <rFont val="Montserrat Medium"/>
        <family val="3"/>
      </rPr>
      <t>(weeks per year)</t>
    </r>
  </si>
  <si>
    <r>
      <t xml:space="preserve">Construction time </t>
    </r>
    <r>
      <rPr>
        <sz val="10"/>
        <color theme="1"/>
        <rFont val="Montserrat Medium"/>
        <family val="3"/>
      </rPr>
      <t>(years)</t>
    </r>
  </si>
  <si>
    <r>
      <t xml:space="preserve">Response time from idle to full-rated discharge </t>
    </r>
    <r>
      <rPr>
        <sz val="10"/>
        <color theme="1"/>
        <rFont val="Montserrat Medium"/>
        <family val="3"/>
      </rPr>
      <t>(sec)</t>
    </r>
  </si>
  <si>
    <r>
      <t xml:space="preserve">Response time from full-rated charge to full-rated  discharge </t>
    </r>
    <r>
      <rPr>
        <sz val="10"/>
        <color theme="1"/>
        <rFont val="Montserrat Medium"/>
        <family val="3"/>
      </rPr>
      <t>(sec)</t>
    </r>
  </si>
  <si>
    <r>
      <t xml:space="preserve">Specific investment </t>
    </r>
    <r>
      <rPr>
        <sz val="10"/>
        <color theme="1"/>
        <rFont val="Montserrat Medium"/>
        <family val="3"/>
      </rPr>
      <t>(MUSD2020 per MWh)</t>
    </r>
  </si>
  <si>
    <r>
      <t xml:space="preserve">  -Energy component </t>
    </r>
    <r>
      <rPr>
        <sz val="10"/>
        <color theme="1"/>
        <rFont val="Montserrat Medium"/>
        <family val="3"/>
      </rPr>
      <t>(MUSD2020/MWh)</t>
    </r>
  </si>
  <si>
    <r>
      <t xml:space="preserve">  -Capacity component </t>
    </r>
    <r>
      <rPr>
        <sz val="10"/>
        <color theme="1"/>
        <rFont val="Montserrat Medium"/>
        <family val="3"/>
      </rPr>
      <t>(MUSD2020/MW)</t>
    </r>
  </si>
  <si>
    <r>
      <t xml:space="preserve">Fixed O&amp;M </t>
    </r>
    <r>
      <rPr>
        <sz val="10"/>
        <color theme="1"/>
        <rFont val="Montserrat Medium"/>
        <family val="3"/>
      </rPr>
      <t>(MUSD2020/MW/year)</t>
    </r>
  </si>
  <si>
    <r>
      <t xml:space="preserve">Variable O&amp;M </t>
    </r>
    <r>
      <rPr>
        <sz val="10"/>
        <color theme="1"/>
        <rFont val="Montserrat Medium"/>
        <family val="3"/>
      </rPr>
      <t>(USD2020/MWh/year)</t>
    </r>
  </si>
  <si>
    <r>
      <t xml:space="preserve">Alternative investment cost </t>
    </r>
    <r>
      <rPr>
        <sz val="10"/>
        <color theme="1"/>
        <rFont val="Montserrat Medium"/>
        <family val="3"/>
      </rPr>
      <t>(MUSD2020 per MW)</t>
    </r>
  </si>
  <si>
    <r>
      <t xml:space="preserve">Specific power </t>
    </r>
    <r>
      <rPr>
        <sz val="10"/>
        <color theme="1"/>
        <rFont val="Montserrat Medium"/>
        <family val="3"/>
      </rPr>
      <t>(W/kg)</t>
    </r>
  </si>
  <si>
    <r>
      <t xml:space="preserve">Power density </t>
    </r>
    <r>
      <rPr>
        <sz val="10"/>
        <color theme="1"/>
        <rFont val="Montserrat Medium"/>
        <family val="3"/>
      </rPr>
      <t>(kW/m3)</t>
    </r>
  </si>
  <si>
    <r>
      <t>Specific energy</t>
    </r>
    <r>
      <rPr>
        <sz val="10"/>
        <color theme="1"/>
        <rFont val="Montserrat Medium"/>
        <family val="3"/>
      </rPr>
      <t xml:space="preserve"> (Wh/kg)</t>
    </r>
  </si>
  <si>
    <r>
      <t xml:space="preserve">Energy density </t>
    </r>
    <r>
      <rPr>
        <sz val="10"/>
        <color theme="1"/>
        <rFont val="Montserrat Medium"/>
        <family val="3"/>
      </rPr>
      <t>(kWh/m3)</t>
    </r>
  </si>
  <si>
    <r>
      <t xml:space="preserve"> - </t>
    </r>
    <r>
      <rPr>
        <i/>
        <sz val="9"/>
        <color theme="1"/>
        <rFont val="Montserrat Medium"/>
        <family val="3"/>
      </rPr>
      <t>Charge efficiency (%)</t>
    </r>
  </si>
  <si>
    <t>Tecnología</t>
  </si>
  <si>
    <t>Datos de energía/tecnicos</t>
  </si>
  <si>
    <t>Forma de energía almacenada</t>
  </si>
  <si>
    <t xml:space="preserve">Aplicación </t>
  </si>
  <si>
    <t>Capacidad de almacenamiento por unidad (MWh)</t>
  </si>
  <si>
    <t>Capacidad de inyección/descarga por unidad (MW)</t>
  </si>
  <si>
    <t>Capacidad de entrada (MW)</t>
  </si>
  <si>
    <t>Eficiencia de ciclo (%)</t>
  </si>
  <si>
    <t>Eficiencia de carga (%)</t>
  </si>
  <si>
    <t>Eficiencia de descarga (%)</t>
  </si>
  <si>
    <t>Perdida de energía durante el almacenamiento (%/día)</t>
  </si>
  <si>
    <t>Interrupción forzada (%)</t>
  </si>
  <si>
    <t>Interrupción planificada (Semanas por año)</t>
  </si>
  <si>
    <t>Tiempo de vida técnico (años)</t>
  </si>
  <si>
    <t>Tiempo de construcción (años)</t>
  </si>
  <si>
    <t>Tiempo de vida técnico (número total de ciclos)</t>
  </si>
  <si>
    <t>Habilidad de regulación</t>
  </si>
  <si>
    <t>Datos Financieros</t>
  </si>
  <si>
    <t>Inversión especifica (M$2020 / MWh)</t>
  </si>
  <si>
    <t>Componente de energía de la inversión especifica (MUSD/MWh)</t>
  </si>
  <si>
    <t>Componente de capacidad de la inversión especifica (MUSD/MWh)</t>
  </si>
  <si>
    <t xml:space="preserve"> -otros costos del proyecto (MUSD/MWh)</t>
  </si>
  <si>
    <t>Costos Fijos de Operación y Mantenimiento (kUSD2020/MW/year)</t>
  </si>
  <si>
    <t xml:space="preserve">Costos Variables de Operación y Mantenimiento </t>
  </si>
  <si>
    <t>Datos especifico por tecnologia</t>
  </si>
  <si>
    <t>Costo de inversión alternativa (M$USD2020/MW)</t>
  </si>
  <si>
    <t>Poder especifico (W/kg)</t>
  </si>
  <si>
    <t>Densidad de poder (W/m3)</t>
  </si>
  <si>
    <t>Energía específica (Wh/kg)</t>
  </si>
  <si>
    <t>Densidad de energia (Wh/m3)</t>
  </si>
  <si>
    <t>Tiempo de respuesta desde inactivo hasta descarga nominal completa (seg)</t>
  </si>
  <si>
    <t>Tiempo de respuesta desde la carga nominal completa hasta la descarga nominal completa (seg)</t>
  </si>
  <si>
    <t>promedio</t>
  </si>
  <si>
    <t>Batería NaS</t>
  </si>
  <si>
    <t>Incertidumbre (2020)</t>
  </si>
  <si>
    <t>Incertidumbre (2030)</t>
  </si>
  <si>
    <t>Alta</t>
  </si>
  <si>
    <t>Baja</t>
  </si>
  <si>
    <t>Nota</t>
  </si>
  <si>
    <t>Electro-química</t>
  </si>
  <si>
    <t>Reserva de Restauración de Frecuencia (2h)</t>
  </si>
  <si>
    <t>Notas:</t>
  </si>
  <si>
    <t>Referencias</t>
  </si>
  <si>
    <t>Se supone que es la misma que la salida</t>
  </si>
  <si>
    <t>La interrupción forzada es mínima. El único caso informado es un incendio de 2011</t>
  </si>
  <si>
    <t>Del orden de 1 h al año.</t>
  </si>
  <si>
    <t>Debido a la ausencia de predicciones en la literatura, no se asume ningún desarrollo como estimación.</t>
  </si>
  <si>
    <t>En ausencia de datos, se infiere de la eficiencia del viaje de ida y vuelta que se asume como el producto de la eficiencia de carga y descarga y se considera igual, también debido a la falta de datos.</t>
  </si>
  <si>
    <t>La potencia específica y la densidad de potencia se escalaron de [2] teniendo en cuenta la diferente relación energía / potencia.</t>
  </si>
  <si>
    <t>Datos para la unidad de contenedor estándar NGK, basados ​​en NGK Insulators LTD, “Estructura del sistema de almacenamiento de energía NAS”, 2016. [En línea]. Disponible: https://www.ngk.co.jp/nas/specs/.</t>
  </si>
  <si>
    <t>No los valores máximos tecnológicos, es decir, la densidad de las celdas individuales, sino las especificaciones para un producto comercial estándar de mercado completo.</t>
  </si>
  <si>
    <t>Las incertidumbres se basan en una suposición calificada.</t>
  </si>
  <si>
    <t>Datos tecnicos</t>
  </si>
  <si>
    <t>Perdida de Energía durante el almacenamiento (%/día)</t>
  </si>
  <si>
    <t>Tiempo de respuesta del estado inactivo a la descarga completa (seg)</t>
  </si>
  <si>
    <t>Otros costos del Proyecto (MUSD/MWh)</t>
  </si>
  <si>
    <t>Costos Variables de Operación y Mantenimiento (MUSD2020/MW/año)</t>
  </si>
  <si>
    <t>Vida útil en número total de ciclos</t>
  </si>
  <si>
    <t>Poder especifíco (W/kg)</t>
  </si>
  <si>
    <t>Energía específica  (Wh/kg)</t>
  </si>
  <si>
    <t>Inversión especifica (MUSD2015 / MWh)</t>
  </si>
  <si>
    <t>Componente de energía de la inversión especifica (MUSD2015/MWh)</t>
  </si>
  <si>
    <t>Componente de capacidad de la inversión especifica (MUSD/MW)</t>
  </si>
  <si>
    <t>Costos Fijos de Operación y Mantenimiento (kUSD2020/kW/año)</t>
  </si>
  <si>
    <t>Costo de inversión alternativo (MUSD2020/ MW)</t>
  </si>
  <si>
    <t>Densidad de energía (Wh/m3)</t>
  </si>
  <si>
    <t>Tasa de cambio entre los años 2030 y 2020</t>
  </si>
  <si>
    <t>Tasa de cambio entre los años 2050 y 2030</t>
  </si>
  <si>
    <t>Procedimiento seguido para determinar la proyección</t>
  </si>
  <si>
    <r>
      <t xml:space="preserve">Proyección de acuerdo con el tipo de cambio </t>
    </r>
    <r>
      <rPr>
        <sz val="10"/>
        <color theme="1"/>
        <rFont val="Montserrat Medium"/>
        <family val="3"/>
      </rPr>
      <t>(2030-2020 and 2050-2030)</t>
    </r>
  </si>
  <si>
    <t>Procedimiento seguido para determinar la proyección de acuerdo con el tipo de cambio</t>
  </si>
  <si>
    <t>Tasa de cambio</t>
  </si>
  <si>
    <t>1. Los datos para 2020 son tipos de datos puntuales para este año, los datos históricos no están disponibles. 2. Las proyecciones tienen un comportamiento numérico similar al de la hoja de datos de [2]</t>
  </si>
  <si>
    <t>1. Los datos de los años 2015, 2020, 2030 y 2050 se muestran en estas hojas de [2].</t>
  </si>
  <si>
    <t>Eficiencia de ciclo completo (%)</t>
  </si>
  <si>
    <t>Pérdidas de energía durante el almacenamiento (% / día)</t>
  </si>
  <si>
    <t>Interrupción planificada (semanas por año)</t>
  </si>
  <si>
    <t>Componente de energía de la inversión especifica (MUSD2020/MWh)</t>
  </si>
  <si>
    <t>Densidad de poder (kW/m3)</t>
  </si>
  <si>
    <t>Densidad de energía (kWh/m3)</t>
  </si>
  <si>
    <t>Costo de inversión alternativo (MUSD2020 / MW)</t>
  </si>
  <si>
    <t>Costos Fijos de Operación y Mantenimiento (MUSD2020/MW/año)</t>
  </si>
  <si>
    <t>2020 (Incertidumbre)</t>
  </si>
  <si>
    <t>2050 (Incertidumbre)</t>
  </si>
  <si>
    <t>Tasa de cambio 2020</t>
  </si>
  <si>
    <t>Tasa de cambio 2030</t>
  </si>
  <si>
    <t>Tasa de cambio 2050</t>
  </si>
  <si>
    <t>NOTA</t>
  </si>
  <si>
    <t>1. La incertidumbre se calcula con el comportamiento numérico similar de [2].
2. La tasa de cambio para 2030 se estima mediante regresión lineal entre la tasa de cambio 2020 y 2050.</t>
  </si>
  <si>
    <t>1. La incertidumbre de estos parámetros es la misma que [2] porque el diseño se basa en las mismas capacidades operativas del sistema de almacenamiento de energía.</t>
  </si>
  <si>
    <t>1. La incertidumbre de estos parámetros es la misma que [1] porque el diseño se basa en las mismas capacidades operativas del sistema de almacenamiento de energía.</t>
  </si>
  <si>
    <t>1. La incertidumbre es la misma que [7], para mantener la coherencia entre los datos (consulte la Tabla A5 en esta referencia)</t>
  </si>
  <si>
    <t>Componente de capacidad de la inversión especifica (MUSD2020/MW)</t>
  </si>
  <si>
    <t>Costos Variables de Operación y Mantenimiento (MUSD2020/MWh/año)</t>
  </si>
  <si>
    <t>1. Los datos de los años 2016, 2020, 2025 y 2030 se obtuvieron de [1]. 
2. Estos datos se utilizan dentro de la herramienta IRENA como "Capacidad de almacenamiento utilizable" y "Energía de almacenamiento instalada".
3. Se considera que estos parámetros no tendrán variación en el período 2030-2050 debido a su madurez tecnológica.</t>
  </si>
  <si>
    <t>1. Los datos de los años 2015, 2020, 2030 y 2050 se muestran en estas hojas de [2]. 
2. Los datos seleccionados para 2020 son tipos de datos puntuales de [2-5]. 
3. Las proyecciones tienen un comportamiento numérico similar a [2] con la tasa de cambio estimada aplicada para estimar la proyección del valor de [2-5].</t>
  </si>
  <si>
    <t>1. Estos datos técnicos se calcularon con una ecuación de Eficiencia de ida y vuelta (ver hoja Volantes). 
2. En el capítulo de Introducción del Catálogo, se define la ecuación de Eficiencia de Ida y Vuelta.</t>
  </si>
  <si>
    <t>1. La tendencia de los datos para estos parámetros (en este caso constante) se identificó en la referencia [1] para NaS. 
2. Estos datos se utilizan dentro de la herramienta IRENA como "Autodescarga". 
3. Se considera que estos parámetros no tendrán variación en el período 2030-2050 debido a su madurez tecnológica.</t>
  </si>
  <si>
    <t>1. Los datos de los años 2015, 2020, 2030 y 2050 se muestran en estas hojas de [2].
2. Los datos seleccionados para 2020 son tipos de datos puntuales de [2, 4, 5]. 
3. Las proyecciones tienen un comportamiento numérico similar a [2] con la tasa de cambio estimada aplicada para estimar la proyección del valor de [2, 4, 5].</t>
  </si>
  <si>
    <t>1. Los datos de este parámetro se calcularon con una ecuación para Inversión Específica (ver hoja de Iones de Litio). 
2. En el capítulo de Introducción del Catálogo, se define la ecuación de Inversión Específica.</t>
  </si>
  <si>
    <r>
      <t>1. La tendencia de los datos para estos parámetros (en este caso disminución exponencial) se identificó en la referencia [2] para NaS.
2. Los datos de los años 2016, 2020, 2025 y 2030 se obtuvieron de [1].
3. Vea la proyección exponencial en la solapa inferior llamada</t>
    </r>
    <r>
      <rPr>
        <b/>
        <sz val="10"/>
        <color theme="1"/>
        <rFont val="Montserrat Medium"/>
      </rPr>
      <t xml:space="preserve"> 17_EC y 18_CC.</t>
    </r>
  </si>
  <si>
    <t>1. Los datos de los años 2015, 2020, 2030 y 2050 se muestran en estas hojas de [2]. 
2. Los datos seleccionados para 2020 son tipos de datos puntuales de [7]. 
3. Las proyecciones tienen un comportamiento numérico similar a [2] con la tasa de cambio estimada aplicada para estimar la proyección del valor de [7].</t>
  </si>
  <si>
    <t>1. Estos datos se calcularon con una ecuación de costo de inversión alternativo (consulte la hoja NaS). 
2. En el capítulo de Introducción del Catálogo, se define la ecuación de Costo de Inversión Alternativa.</t>
  </si>
  <si>
    <t>1. Estos datos técnicos se calcularon con una ecuación de potencia específica (ver hoja LA).
2. En el capítulo de Introducción del Catálogo, se define la ecuación de Poder Específico.</t>
  </si>
  <si>
    <t>1. Estos datos técnicos se calcularon con una ecuación de densidad de potencia (ver hoja LA). 
2. En el capítulo de Introducción del Catálogo, se define la ecuación de Densidad de Potencia.</t>
  </si>
  <si>
    <t>1. La incertidumbre para estos parámetros tiene el mismo comportamiento que [1] porque el diseño se basa en las mismas capacidades operativas del sistema de almacenamiento de energía. 
2. Estos datos se encuentran dentro de la herramienta IRENA como "Capacidad de almacenamiento utilizable" y "Potencia de almacenamiento instalada".</t>
  </si>
  <si>
    <t>1. Estos datos técnicos se calcularon con una ecuación de potencia específica (ver hoja NaS). 
2. En el capítulo de Introducción del Catálogo, se define la ecuación de Poder Específico.</t>
  </si>
  <si>
    <t>1. Estos datos técnicos se calcularon con una ecuación de densidad de potencia (ver hoja de Na). 
2. En el capítulo de Introducción del Catálogo, se define la ecuación de Densidad de Potencia.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</si>
</sst>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 #,##0.00_ ;_ * \-#,##0.00_ ;_ * &quot;-&quot;??_ ;_ @_ "/>
    <numFmt numFmtId="165" formatCode="0.0"/>
    <numFmt numFmtId="166" formatCode="0.000"/>
    <numFmt numFmtId="167" formatCode="0.0000"/>
    <numFmt numFmtId="168" formatCode="0.00000"/>
  </numFmts>
  <fonts count="27" x14ac:knownFonts="1">
    <font>
      <sz val="11"/>
      <color theme="1"/>
      <name val="Calibri"/>
      <family val="2"/>
      <scheme val="minor"/>
    </font>
    <font>
      <sz val="11"/>
      <color theme="1"/>
      <name val="Calibri"/>
      <family val="2"/>
      <scheme val="minor"/>
    </font>
    <font>
      <sz val="10"/>
      <name val="Helv"/>
    </font>
    <font>
      <u/>
      <sz val="10"/>
      <color indexed="12"/>
      <name val="Arial"/>
      <family val="2"/>
    </font>
    <font>
      <u/>
      <sz val="11"/>
      <color theme="10"/>
      <name val="Calibri"/>
      <family val="2"/>
      <scheme val="minor"/>
    </font>
    <font>
      <sz val="11"/>
      <color indexed="62"/>
      <name val="Calibri"/>
      <family val="2"/>
    </font>
    <font>
      <sz val="11"/>
      <color indexed="60"/>
      <name val="Calibri"/>
      <family val="2"/>
    </font>
    <font>
      <sz val="10"/>
      <name val="Arial"/>
      <family val="2"/>
    </font>
    <font>
      <b/>
      <sz val="11"/>
      <color indexed="63"/>
      <name val="Calibri"/>
      <family val="2"/>
    </font>
    <font>
      <b/>
      <sz val="11"/>
      <color indexed="8"/>
      <name val="Calibri"/>
      <family val="2"/>
    </font>
    <font>
      <sz val="11"/>
      <color theme="1"/>
      <name val="Montserrat Medium"/>
      <family val="3"/>
    </font>
    <font>
      <sz val="10"/>
      <color theme="1"/>
      <name val="Montserrat Medium"/>
      <family val="3"/>
    </font>
    <font>
      <b/>
      <sz val="10"/>
      <name val="Montserrat Medium"/>
      <family val="3"/>
    </font>
    <font>
      <b/>
      <sz val="10"/>
      <color theme="1"/>
      <name val="Montserrat Medium"/>
      <family val="3"/>
    </font>
    <font>
      <i/>
      <sz val="10"/>
      <color theme="1"/>
      <name val="Montserrat Medium"/>
      <family val="3"/>
    </font>
    <font>
      <sz val="10"/>
      <color rgb="FF0097A7"/>
      <name val="Montserrat Medium"/>
      <family val="3"/>
    </font>
    <font>
      <b/>
      <sz val="11"/>
      <color theme="1"/>
      <name val="Montserrat Medium"/>
      <family val="3"/>
    </font>
    <font>
      <sz val="9"/>
      <color theme="1"/>
      <name val="Montserrat Medium"/>
      <family val="3"/>
    </font>
    <font>
      <b/>
      <sz val="9"/>
      <color theme="1"/>
      <name val="Montserrat Medium"/>
      <family val="3"/>
    </font>
    <font>
      <sz val="9"/>
      <color rgb="FF000000"/>
      <name val="Montserrat Medium"/>
      <family val="3"/>
    </font>
    <font>
      <i/>
      <sz val="9"/>
      <color theme="1"/>
      <name val="Montserrat Medium"/>
      <family val="3"/>
    </font>
    <font>
      <b/>
      <sz val="10"/>
      <color theme="1"/>
      <name val="Montserrat Medium"/>
    </font>
    <font>
      <sz val="10"/>
      <color theme="1"/>
      <name val="Montserrat Medium"/>
    </font>
    <font>
      <b/>
      <i/>
      <sz val="10"/>
      <color theme="1"/>
      <name val="Montserrat Medium"/>
    </font>
    <font>
      <sz val="11"/>
      <color theme="1"/>
      <name val="Montserrat Medium"/>
    </font>
    <font>
      <sz val="10"/>
      <color theme="1"/>
      <name val="Montserrat Light"/>
    </font>
    <font>
      <b/>
      <sz val="12"/>
      <color theme="1"/>
      <name val="Montserrat Medium"/>
    </font>
  </fonts>
  <fills count="5">
    <fill>
      <patternFill patternType="none"/>
    </fill>
    <fill>
      <patternFill patternType="gray125"/>
    </fill>
    <fill>
      <patternFill patternType="solid">
        <fgColor indexed="47"/>
      </patternFill>
    </fill>
    <fill>
      <patternFill patternType="solid">
        <fgColor indexed="43"/>
      </patternFill>
    </fill>
    <fill>
      <patternFill patternType="solid">
        <fgColor indexed="22"/>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4">
    <xf numFmtId="0" fontId="0" fillId="0" borderId="0" applyFill="0" applyBorder="0" applyProtection="0"/>
    <xf numFmtId="43" fontId="1" fillId="0" borderId="0" applyFont="0" applyFill="0" applyBorder="0" applyAlignment="0" applyProtection="0"/>
    <xf numFmtId="164" fontId="1" fillId="0" borderId="0" applyFont="0" applyFill="0" applyBorder="0" applyAlignment="0" applyProtection="0"/>
    <xf numFmtId="0" fontId="2" fillId="0" borderId="0"/>
    <xf numFmtId="0" fontId="2"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xf numFmtId="0" fontId="5" fillId="2" borderId="8" applyNumberFormat="0" applyAlignment="0" applyProtection="0"/>
    <xf numFmtId="43" fontId="1" fillId="0" borderId="0" applyFont="0" applyFill="0" applyBorder="0" applyAlignment="0" applyProtection="0"/>
    <xf numFmtId="164" fontId="2" fillId="0" borderId="0" applyFont="0" applyFill="0" applyBorder="0" applyAlignment="0" applyProtection="0"/>
    <xf numFmtId="0" fontId="4" fillId="0" borderId="0" applyNumberFormat="0" applyFill="0" applyBorder="0" applyAlignment="0" applyProtection="0"/>
    <xf numFmtId="0" fontId="6" fillId="3" borderId="0" applyNumberFormat="0" applyBorder="0" applyAlignment="0" applyProtection="0"/>
    <xf numFmtId="0" fontId="7" fillId="0" borderId="0"/>
    <xf numFmtId="0" fontId="2" fillId="0" borderId="0"/>
    <xf numFmtId="0" fontId="1" fillId="0" borderId="0"/>
    <xf numFmtId="0" fontId="7" fillId="0" borderId="0"/>
    <xf numFmtId="0" fontId="7" fillId="0" borderId="0"/>
    <xf numFmtId="0" fontId="8" fillId="4" borderId="9" applyNumberFormat="0" applyAlignment="0" applyProtection="0"/>
    <xf numFmtId="0" fontId="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 fillId="0" borderId="10" applyNumberFormat="0" applyFill="0" applyAlignment="0" applyProtection="0"/>
    <xf numFmtId="9" fontId="1" fillId="0" borderId="0" applyFont="0" applyFill="0" applyBorder="0" applyAlignment="0" applyProtection="0"/>
  </cellStyleXfs>
  <cellXfs count="134">
    <xf numFmtId="0" fontId="0" fillId="0" borderId="0" xfId="0"/>
    <xf numFmtId="0" fontId="11" fillId="0" borderId="0" xfId="14" applyFont="1" applyFill="1"/>
    <xf numFmtId="0" fontId="11"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0" xfId="0" applyFont="1" applyFill="1" applyAlignment="1">
      <alignment horizontal="left" vertical="center"/>
    </xf>
    <xf numFmtId="0" fontId="11" fillId="0" borderId="0" xfId="0" applyFont="1" applyFill="1"/>
    <xf numFmtId="0" fontId="13" fillId="0" borderId="1" xfId="0" applyFont="1" applyFill="1" applyBorder="1" applyAlignment="1">
      <alignment horizontal="center" vertical="center" wrapText="1"/>
    </xf>
    <xf numFmtId="0" fontId="11" fillId="0" borderId="0" xfId="0" applyFont="1" applyFill="1" applyAlignment="1">
      <alignment horizontal="left" vertical="center" readingOrder="1"/>
    </xf>
    <xf numFmtId="0" fontId="11" fillId="0" borderId="0" xfId="0" applyFont="1" applyFill="1" applyAlignment="1">
      <alignment horizontal="center" vertical="center" wrapText="1"/>
    </xf>
    <xf numFmtId="0" fontId="11" fillId="0" borderId="0" xfId="0" applyFont="1" applyFill="1" applyAlignment="1">
      <alignment horizontal="justify" vertical="center" wrapText="1"/>
    </xf>
    <xf numFmtId="0" fontId="11" fillId="0" borderId="0" xfId="0" applyFont="1" applyFill="1" applyAlignment="1">
      <alignment horizontal="right" vertical="center"/>
    </xf>
    <xf numFmtId="0" fontId="11" fillId="0" borderId="0" xfId="0" applyFont="1" applyFill="1" applyAlignment="1">
      <alignment horizontal="left" vertical="center" wrapText="1"/>
    </xf>
    <xf numFmtId="0" fontId="11" fillId="0" borderId="0" xfId="0" applyFont="1" applyFill="1" applyAlignment="1">
      <alignment horizontal="justify" vertical="center"/>
    </xf>
    <xf numFmtId="0" fontId="16" fillId="0" borderId="0" xfId="0" applyFont="1" applyFill="1" applyAlignment="1">
      <alignment horizontal="justify" vertical="center"/>
    </xf>
    <xf numFmtId="0" fontId="11" fillId="0" borderId="0" xfId="13" applyFont="1" applyFill="1"/>
    <xf numFmtId="0" fontId="11" fillId="0" borderId="0" xfId="0" applyFont="1" applyFill="1" applyAlignment="1">
      <alignment horizontal="right"/>
    </xf>
    <xf numFmtId="0" fontId="11" fillId="0" borderId="0" xfId="0" applyFont="1" applyFill="1" applyAlignment="1">
      <alignment vertical="center" wrapText="1"/>
    </xf>
    <xf numFmtId="0" fontId="15" fillId="0" borderId="0" xfId="0" applyFont="1" applyFill="1" applyAlignment="1">
      <alignment horizontal="justify" vertical="center"/>
    </xf>
    <xf numFmtId="0" fontId="11" fillId="0" borderId="0" xfId="0" applyFont="1" applyFill="1" applyAlignment="1">
      <alignment horizontal="left" vertical="center"/>
    </xf>
    <xf numFmtId="0" fontId="11" fillId="0" borderId="0" xfId="0" applyFont="1" applyFill="1" applyAlignment="1">
      <alignment horizontal="left"/>
    </xf>
    <xf numFmtId="0" fontId="10" fillId="0" borderId="0" xfId="0" applyFont="1" applyFill="1"/>
    <xf numFmtId="0" fontId="16" fillId="0" borderId="0" xfId="0" applyFont="1" applyFill="1" applyAlignment="1">
      <alignment horizontal="center" vertical="center" wrapText="1"/>
    </xf>
    <xf numFmtId="0" fontId="16" fillId="0" borderId="0" xfId="0" applyFont="1" applyFill="1" applyAlignment="1">
      <alignment vertical="center" wrapText="1"/>
    </xf>
    <xf numFmtId="0" fontId="13" fillId="0" borderId="0" xfId="0" applyFont="1" applyFill="1" applyAlignment="1">
      <alignment horizontal="left" vertical="center" wrapText="1"/>
    </xf>
    <xf numFmtId="0" fontId="10" fillId="0" borderId="0" xfId="0" applyFont="1" applyFill="1" applyAlignment="1">
      <alignment horizontal="center" vertical="center" wrapText="1"/>
    </xf>
    <xf numFmtId="0" fontId="13" fillId="0" borderId="0" xfId="0" applyFont="1" applyFill="1" applyAlignment="1">
      <alignment horizontal="center" vertical="center" wrapText="1"/>
    </xf>
    <xf numFmtId="0" fontId="13" fillId="0" borderId="0" xfId="0" applyFont="1" applyFill="1" applyAlignment="1">
      <alignment horizontal="center"/>
    </xf>
    <xf numFmtId="165" fontId="11" fillId="0" borderId="0" xfId="23" applyNumberFormat="1" applyFont="1" applyFill="1" applyAlignment="1">
      <alignment horizontal="center" vertical="center" wrapText="1"/>
    </xf>
    <xf numFmtId="165" fontId="11" fillId="0" borderId="0" xfId="0" applyNumberFormat="1" applyFont="1" applyFill="1" applyAlignment="1">
      <alignment horizontal="center" vertical="center" wrapText="1"/>
    </xf>
    <xf numFmtId="165" fontId="11" fillId="0" borderId="0" xfId="0" applyNumberFormat="1" applyFont="1" applyFill="1" applyAlignment="1">
      <alignment horizontal="center" vertical="center"/>
    </xf>
    <xf numFmtId="168" fontId="10" fillId="0" borderId="0" xfId="0" applyNumberFormat="1" applyFont="1" applyFill="1" applyAlignment="1">
      <alignment horizontal="center" vertical="center"/>
    </xf>
    <xf numFmtId="167" fontId="11" fillId="0" borderId="0" xfId="23" applyNumberFormat="1" applyFont="1" applyFill="1" applyAlignment="1">
      <alignment horizontal="center" vertical="center" wrapText="1"/>
    </xf>
    <xf numFmtId="1" fontId="11" fillId="0" borderId="0" xfId="0" applyNumberFormat="1" applyFont="1" applyFill="1" applyAlignment="1">
      <alignment horizontal="center" vertical="center" wrapText="1"/>
    </xf>
    <xf numFmtId="1" fontId="11" fillId="0" borderId="0" xfId="0" applyNumberFormat="1" applyFont="1" applyFill="1" applyAlignment="1">
      <alignment horizontal="center" vertical="center"/>
    </xf>
    <xf numFmtId="167" fontId="11" fillId="0" borderId="0" xfId="0" applyNumberFormat="1" applyFont="1" applyFill="1" applyAlignment="1">
      <alignment horizontal="center" vertical="center" wrapText="1"/>
    </xf>
    <xf numFmtId="2" fontId="11" fillId="0" borderId="0" xfId="0" applyNumberFormat="1" applyFont="1" applyFill="1" applyAlignment="1">
      <alignment horizontal="center" vertical="center" wrapText="1"/>
    </xf>
    <xf numFmtId="166" fontId="11" fillId="0" borderId="0" xfId="0" applyNumberFormat="1" applyFont="1" applyFill="1" applyAlignment="1">
      <alignment horizontal="center" vertical="center" wrapText="1"/>
    </xf>
    <xf numFmtId="166" fontId="11" fillId="0" borderId="0" xfId="0" applyNumberFormat="1" applyFont="1" applyFill="1" applyAlignment="1">
      <alignment horizontal="center" vertical="center"/>
    </xf>
    <xf numFmtId="2" fontId="11" fillId="0" borderId="0" xfId="23" applyNumberFormat="1" applyFont="1" applyFill="1" applyAlignment="1">
      <alignment horizontal="center" vertical="center" wrapText="1"/>
    </xf>
    <xf numFmtId="2" fontId="11" fillId="0" borderId="0" xfId="0" applyNumberFormat="1" applyFont="1" applyFill="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left" vertical="top"/>
    </xf>
    <xf numFmtId="0" fontId="10" fillId="0" borderId="0" xfId="0" applyFont="1" applyFill="1" applyAlignment="1">
      <alignment horizontal="left" vertical="top"/>
    </xf>
    <xf numFmtId="0" fontId="10" fillId="0" borderId="0" xfId="0" applyFont="1" applyFill="1" applyBorder="1" applyAlignment="1">
      <alignment horizontal="center" vertical="center"/>
    </xf>
    <xf numFmtId="0" fontId="13" fillId="0" borderId="0" xfId="0" applyFont="1" applyFill="1" applyBorder="1" applyAlignment="1">
      <alignment vertical="top" wrapText="1"/>
    </xf>
    <xf numFmtId="0" fontId="11" fillId="0" borderId="1" xfId="0" applyFont="1" applyFill="1" applyBorder="1" applyAlignment="1">
      <alignment horizontal="center" vertical="center"/>
    </xf>
    <xf numFmtId="0" fontId="13" fillId="0" borderId="1" xfId="0" applyFont="1" applyFill="1" applyBorder="1" applyAlignment="1">
      <alignment horizontal="center" vertical="center"/>
    </xf>
    <xf numFmtId="166" fontId="11" fillId="0" borderId="1" xfId="0" applyNumberFormat="1" applyFont="1" applyFill="1" applyBorder="1" applyAlignment="1">
      <alignment horizontal="center" vertical="center"/>
    </xf>
    <xf numFmtId="166" fontId="11" fillId="0" borderId="1" xfId="23" applyNumberFormat="1" applyFont="1" applyFill="1" applyBorder="1" applyAlignment="1">
      <alignment horizontal="center" vertical="center"/>
    </xf>
    <xf numFmtId="0" fontId="11" fillId="0" borderId="1" xfId="0" applyFont="1" applyFill="1" applyBorder="1" applyAlignment="1">
      <alignment horizontal="left" vertical="center"/>
    </xf>
    <xf numFmtId="0" fontId="10" fillId="0" borderId="0" xfId="0" applyFont="1" applyFill="1" applyAlignment="1">
      <alignment vertical="center"/>
    </xf>
    <xf numFmtId="0" fontId="10" fillId="0" borderId="0" xfId="0" applyFont="1" applyFill="1" applyBorder="1" applyAlignment="1">
      <alignment vertical="center" wrapText="1"/>
    </xf>
    <xf numFmtId="0" fontId="10" fillId="0" borderId="0" xfId="0" applyFont="1" applyFill="1" applyAlignment="1">
      <alignment vertical="center" wrapText="1"/>
    </xf>
    <xf numFmtId="0" fontId="18"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1" xfId="13" applyFont="1" applyFill="1" applyBorder="1" applyAlignment="1">
      <alignment horizontal="center" vertical="center" wrapText="1"/>
    </xf>
    <xf numFmtId="1" fontId="17" fillId="0" borderId="1" xfId="0" applyNumberFormat="1"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7" xfId="0" applyFont="1" applyFill="1" applyBorder="1" applyAlignment="1">
      <alignment vertical="center" wrapText="1"/>
    </xf>
    <xf numFmtId="2" fontId="17" fillId="0" borderId="1" xfId="0" applyNumberFormat="1" applyFont="1" applyFill="1" applyBorder="1" applyAlignment="1">
      <alignment horizontal="center" vertical="center" wrapText="1"/>
    </xf>
    <xf numFmtId="166"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165" fontId="19" fillId="0" borderId="1" xfId="0" applyNumberFormat="1" applyFont="1" applyFill="1" applyBorder="1" applyAlignment="1">
      <alignment horizontal="center" vertical="center" wrapText="1"/>
    </xf>
    <xf numFmtId="0" fontId="18" fillId="0" borderId="19" xfId="0" applyFont="1" applyFill="1" applyBorder="1" applyAlignment="1">
      <alignment horizontal="left" vertical="center" wrapText="1"/>
    </xf>
    <xf numFmtId="0" fontId="17"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22"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7" fillId="0" borderId="23" xfId="0" applyFont="1" applyFill="1" applyBorder="1" applyAlignment="1">
      <alignment horizontal="center" vertical="center" wrapText="1"/>
    </xf>
    <xf numFmtId="0" fontId="20" fillId="0" borderId="22" xfId="0" applyFont="1" applyFill="1" applyBorder="1" applyAlignment="1">
      <alignment horizontal="left" vertical="center" wrapText="1"/>
    </xf>
    <xf numFmtId="0" fontId="19" fillId="0" borderId="24" xfId="0" applyFont="1" applyFill="1" applyBorder="1" applyAlignment="1">
      <alignment vertical="center" wrapText="1"/>
    </xf>
    <xf numFmtId="0" fontId="18" fillId="0" borderId="23"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7" fillId="0" borderId="26"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3" fillId="0" borderId="0" xfId="0" applyFont="1" applyFill="1" applyAlignment="1">
      <alignment horizontal="center" vertical="center" wrapText="1"/>
    </xf>
    <xf numFmtId="0" fontId="10" fillId="0" borderId="1" xfId="13" applyFont="1" applyBorder="1"/>
    <xf numFmtId="0" fontId="21" fillId="0" borderId="1" xfId="13" applyFont="1" applyBorder="1" applyAlignment="1">
      <alignment wrapText="1"/>
    </xf>
    <xf numFmtId="0" fontId="22" fillId="0" borderId="1" xfId="0" applyFont="1" applyBorder="1" applyAlignment="1">
      <alignment horizontal="justify" vertical="center" wrapText="1"/>
    </xf>
    <xf numFmtId="0" fontId="23" fillId="0" borderId="1" xfId="0" applyFont="1" applyBorder="1" applyAlignment="1">
      <alignment horizontal="justify" vertical="center" wrapText="1"/>
    </xf>
    <xf numFmtId="0" fontId="21" fillId="0" borderId="1" xfId="0" applyFont="1" applyBorder="1" applyAlignment="1">
      <alignment horizontal="justify" vertical="center" wrapText="1"/>
    </xf>
    <xf numFmtId="0" fontId="22" fillId="0" borderId="1" xfId="13" applyFont="1" applyBorder="1" applyAlignment="1">
      <alignment vertical="center" wrapText="1"/>
    </xf>
    <xf numFmtId="0" fontId="21" fillId="0" borderId="1" xfId="13" applyFont="1" applyBorder="1" applyAlignment="1">
      <alignment vertical="center" wrapText="1"/>
    </xf>
    <xf numFmtId="0" fontId="24" fillId="0" borderId="1"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11" fillId="0" borderId="0" xfId="0" applyFont="1" applyFill="1" applyAlignment="1">
      <alignment horizontal="justify"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Alignment="1">
      <alignment horizontal="center" vertical="center" wrapText="1"/>
    </xf>
    <xf numFmtId="0" fontId="13" fillId="0" borderId="0" xfId="0" applyFont="1" applyFill="1" applyBorder="1" applyAlignment="1">
      <alignment horizontal="justify" vertical="center" wrapText="1"/>
    </xf>
    <xf numFmtId="0" fontId="13" fillId="0" borderId="0" xfId="0" applyFont="1" applyFill="1" applyAlignment="1">
      <alignment horizontal="justify" vertical="center" wrapText="1"/>
    </xf>
    <xf numFmtId="0" fontId="11" fillId="0" borderId="0" xfId="0" applyFont="1" applyFill="1" applyBorder="1" applyAlignment="1">
      <alignment horizontal="justify" vertical="center" wrapText="1"/>
    </xf>
    <xf numFmtId="0" fontId="19" fillId="0" borderId="2"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3" xfId="0" applyFont="1" applyFill="1" applyBorder="1" applyAlignment="1">
      <alignment horizontal="center" vertical="center" wrapText="1"/>
    </xf>
    <xf numFmtId="165" fontId="11" fillId="0" borderId="0" xfId="0" applyNumberFormat="1" applyFont="1" applyFill="1" applyAlignment="1">
      <alignment horizontal="center" vertical="center" wrapText="1"/>
    </xf>
    <xf numFmtId="0" fontId="11" fillId="0" borderId="1" xfId="0" applyFont="1" applyFill="1" applyBorder="1" applyAlignment="1">
      <alignment horizontal="center" vertical="center"/>
    </xf>
    <xf numFmtId="0" fontId="18" fillId="0" borderId="1" xfId="0" applyFont="1" applyFill="1" applyBorder="1" applyAlignment="1">
      <alignment vertical="center" wrapText="1"/>
    </xf>
    <xf numFmtId="0" fontId="11" fillId="0" borderId="1" xfId="13" applyFont="1" applyBorder="1" applyAlignment="1">
      <alignment vertical="center" wrapText="1"/>
    </xf>
    <xf numFmtId="0" fontId="25" fillId="0" borderId="1" xfId="0" applyFont="1" applyBorder="1" applyAlignment="1">
      <alignment horizontal="justify" vertical="center" wrapText="1"/>
    </xf>
    <xf numFmtId="0" fontId="26" fillId="0" borderId="1" xfId="13" applyFont="1" applyBorder="1" applyAlignment="1">
      <alignment vertical="center" wrapText="1"/>
    </xf>
    <xf numFmtId="0" fontId="16" fillId="0" borderId="1" xfId="0" applyFont="1" applyFill="1" applyBorder="1" applyAlignment="1">
      <alignment horizontal="center" vertical="center" wrapText="1"/>
    </xf>
    <xf numFmtId="0" fontId="11"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7" fillId="0" borderId="1" xfId="0" applyFont="1" applyFill="1" applyBorder="1" applyAlignment="1">
      <alignment horizontal="left" vertical="top" wrapText="1"/>
    </xf>
    <xf numFmtId="0" fontId="13" fillId="0" borderId="0" xfId="0" applyFont="1" applyFill="1" applyAlignment="1">
      <alignment horizontal="center" wrapText="1"/>
    </xf>
    <xf numFmtId="0" fontId="16" fillId="0" borderId="0" xfId="0" applyFont="1" applyFill="1" applyAlignment="1">
      <alignment horizontal="left"/>
    </xf>
    <xf numFmtId="0" fontId="17" fillId="0" borderId="1"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15"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18"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6" xfId="0" applyFont="1" applyFill="1" applyBorder="1" applyAlignment="1">
      <alignment horizontal="left" vertical="top" wrapText="1"/>
    </xf>
    <xf numFmtId="0" fontId="17" fillId="0" borderId="3" xfId="0" applyFont="1" applyFill="1" applyBorder="1" applyAlignment="1">
      <alignment horizontal="left" vertical="top" wrapText="1"/>
    </xf>
    <xf numFmtId="0" fontId="22" fillId="0" borderId="1" xfId="0" applyFont="1" applyBorder="1" applyAlignment="1">
      <alignment horizontal="left" vertical="center" wrapText="1"/>
    </xf>
    <xf numFmtId="0" fontId="22" fillId="0" borderId="0" xfId="0" applyFont="1" applyBorder="1" applyAlignment="1">
      <alignment horizontal="left" vertical="center" wrapText="1"/>
    </xf>
    <xf numFmtId="0" fontId="16" fillId="0" borderId="1" xfId="0" applyFont="1" applyFill="1" applyBorder="1" applyAlignment="1">
      <alignment horizontal="left" vertical="center"/>
    </xf>
    <xf numFmtId="0" fontId="17" fillId="0" borderId="7"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12" xfId="0" applyFont="1" applyFill="1" applyBorder="1" applyAlignment="1">
      <alignment horizontal="left" vertical="top" wrapText="1"/>
    </xf>
    <xf numFmtId="0" fontId="18" fillId="0" borderId="1" xfId="0" applyFont="1" applyFill="1" applyBorder="1" applyAlignment="1">
      <alignment horizontal="center" vertical="center" wrapText="1"/>
    </xf>
  </cellXfs>
  <cellStyles count="24">
    <cellStyle name="Comma 2" xfId="1" xr:uid="{00000000-0005-0000-0000-000000000000}"/>
    <cellStyle name="Comma 3" xfId="2" xr:uid="{00000000-0005-0000-0000-000001000000}"/>
    <cellStyle name="Comma0 - Type3" xfId="3" xr:uid="{00000000-0005-0000-0000-000002000000}"/>
    <cellStyle name="Fixed2 - Type2" xfId="4" xr:uid="{00000000-0005-0000-0000-000003000000}"/>
    <cellStyle name="Hyperlink 2" xfId="5" xr:uid="{00000000-0005-0000-0000-000004000000}"/>
    <cellStyle name="Hyperlink 3" xfId="6" xr:uid="{00000000-0005-0000-0000-000005000000}"/>
    <cellStyle name="Input 2" xfId="7" xr:uid="{00000000-0005-0000-0000-000006000000}"/>
    <cellStyle name="Komma 2" xfId="8" xr:uid="{00000000-0005-0000-0000-000007000000}"/>
    <cellStyle name="Komma 3" xfId="9" xr:uid="{00000000-0005-0000-0000-000008000000}"/>
    <cellStyle name="Link 2" xfId="10" xr:uid="{00000000-0005-0000-0000-000009000000}"/>
    <cellStyle name="Neutral 2" xfId="11" xr:uid="{00000000-0005-0000-0000-00000A000000}"/>
    <cellStyle name="Normal" xfId="0" builtinId="0"/>
    <cellStyle name="Normal 10" xfId="12" xr:uid="{00000000-0005-0000-0000-00000C000000}"/>
    <cellStyle name="Normal 2" xfId="13" xr:uid="{00000000-0005-0000-0000-00000D000000}"/>
    <cellStyle name="Normal 3" xfId="14" xr:uid="{00000000-0005-0000-0000-00000E000000}"/>
    <cellStyle name="Normal 6" xfId="15" xr:uid="{00000000-0005-0000-0000-00000F000000}"/>
    <cellStyle name="Normal 6 2" xfId="16" xr:uid="{00000000-0005-0000-0000-000010000000}"/>
    <cellStyle name="Output 2" xfId="17" xr:uid="{00000000-0005-0000-0000-000011000000}"/>
    <cellStyle name="Percen - Type1" xfId="18" xr:uid="{00000000-0005-0000-0000-000012000000}"/>
    <cellStyle name="Percent 2" xfId="19" xr:uid="{00000000-0005-0000-0000-000013000000}"/>
    <cellStyle name="Porcentaje" xfId="23" builtinId="5"/>
    <cellStyle name="Procent 2" xfId="20" xr:uid="{00000000-0005-0000-0000-000015000000}"/>
    <cellStyle name="Procent 3" xfId="21" xr:uid="{00000000-0005-0000-0000-000016000000}"/>
    <cellStyle name="Total 2" xfId="22" xr:uid="{00000000-0005-0000-0000-000017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externalLink" Target="externalLinks/externalLink3.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6.0929449461200214E-2"/>
                  <c:y val="0.67006916284343854"/>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Uncertanties!$S$2:$S$3</c:f>
            </c:numRef>
          </c:xVal>
          <c:yVal>
            <c:numRef>
              <c:f>Uncertanties!$T$2:$T$3</c:f>
            </c:numRef>
          </c:yVal>
          <c:smooth val="1"/>
          <c:extLst>
            <c:ext xmlns:c16="http://schemas.microsoft.com/office/drawing/2014/chart" uri="{C3380CC4-5D6E-409C-BE32-E72D297353CC}">
              <c16:uniqueId val="{00000000-BF18-4A8F-A927-CEB5AD3BD6C3}"/>
            </c:ext>
          </c:extLst>
        </c:ser>
        <c:dLbls>
          <c:showLegendKey val="0"/>
          <c:showVal val="0"/>
          <c:showCatName val="0"/>
          <c:showSerName val="0"/>
          <c:showPercent val="0"/>
          <c:showBubbleSize val="0"/>
        </c:dLbls>
        <c:axId val="90628480"/>
        <c:axId val="90631552"/>
      </c:scatterChart>
      <c:valAx>
        <c:axId val="906284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0631552"/>
        <c:crosses val="autoZero"/>
        <c:crossBetween val="midCat"/>
      </c:valAx>
      <c:valAx>
        <c:axId val="90631552"/>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062848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5.7307849623821162E-2"/>
                  <c:y val="0.49004057358213371"/>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Uncertanties!$S$2:$S$3</c:f>
            </c:numRef>
          </c:xVal>
          <c:yVal>
            <c:numRef>
              <c:f>Uncertanties!$U$2:$U$3</c:f>
            </c:numRef>
          </c:yVal>
          <c:smooth val="1"/>
          <c:extLst>
            <c:ext xmlns:c16="http://schemas.microsoft.com/office/drawing/2014/chart" uri="{C3380CC4-5D6E-409C-BE32-E72D297353CC}">
              <c16:uniqueId val="{00000000-651F-4D02-983C-8DA156D22100}"/>
            </c:ext>
          </c:extLst>
        </c:ser>
        <c:dLbls>
          <c:showLegendKey val="0"/>
          <c:showVal val="0"/>
          <c:showCatName val="0"/>
          <c:showSerName val="0"/>
          <c:showPercent val="0"/>
          <c:showBubbleSize val="0"/>
        </c:dLbls>
        <c:axId val="129139840"/>
        <c:axId val="129141376"/>
      </c:scatterChart>
      <c:valAx>
        <c:axId val="1291398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9141376"/>
        <c:crosses val="autoZero"/>
        <c:crossBetween val="midCat"/>
      </c:valAx>
      <c:valAx>
        <c:axId val="129141376"/>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913984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6.6384507035144966E-2"/>
                  <c:y val="0.62987372116370499"/>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Uncertanties!$V$3:$V$4</c:f>
            </c:numRef>
          </c:xVal>
          <c:yVal>
            <c:numRef>
              <c:f>Uncertanties!$W$3:$W$4</c:f>
            </c:numRef>
          </c:yVal>
          <c:smooth val="1"/>
          <c:extLst>
            <c:ext xmlns:c16="http://schemas.microsoft.com/office/drawing/2014/chart" uri="{C3380CC4-5D6E-409C-BE32-E72D297353CC}">
              <c16:uniqueId val="{00000000-F47B-480A-A71F-7FDA57553018}"/>
            </c:ext>
          </c:extLst>
        </c:ser>
        <c:dLbls>
          <c:showLegendKey val="0"/>
          <c:showVal val="0"/>
          <c:showCatName val="0"/>
          <c:showSerName val="0"/>
          <c:showPercent val="0"/>
          <c:showBubbleSize val="0"/>
        </c:dLbls>
        <c:axId val="130795776"/>
        <c:axId val="130845696"/>
      </c:scatterChart>
      <c:valAx>
        <c:axId val="1307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0845696"/>
        <c:crosses val="autoZero"/>
        <c:crossBetween val="midCat"/>
      </c:valAx>
      <c:valAx>
        <c:axId val="130845696"/>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079577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4.6397734475931651E-2"/>
                  <c:y val="0.57396356522931058"/>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Uncertanties!$V$3:$V$4</c:f>
            </c:numRef>
          </c:xVal>
          <c:yVal>
            <c:numRef>
              <c:f>Uncertanties!$X$3:$X$4</c:f>
            </c:numRef>
          </c:yVal>
          <c:smooth val="1"/>
          <c:extLst>
            <c:ext xmlns:c16="http://schemas.microsoft.com/office/drawing/2014/chart" uri="{C3380CC4-5D6E-409C-BE32-E72D297353CC}">
              <c16:uniqueId val="{00000000-C04B-4B14-B56A-3EF4DBF7B3D5}"/>
            </c:ext>
          </c:extLst>
        </c:ser>
        <c:dLbls>
          <c:showLegendKey val="0"/>
          <c:showVal val="0"/>
          <c:showCatName val="0"/>
          <c:showSerName val="0"/>
          <c:showPercent val="0"/>
          <c:showBubbleSize val="0"/>
        </c:dLbls>
        <c:axId val="132320256"/>
        <c:axId val="132352640"/>
      </c:scatterChart>
      <c:valAx>
        <c:axId val="1323202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2352640"/>
        <c:crosses val="autoZero"/>
        <c:crossBetween val="midCat"/>
      </c:valAx>
      <c:valAx>
        <c:axId val="132352640"/>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232025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6207330416166127"/>
                  <c:y val="-5.6756940432347171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Uncertanties!$Y$4:$Y$5</c:f>
            </c:numRef>
          </c:xVal>
          <c:yVal>
            <c:numRef>
              <c:f>Uncertanties!$Z$4:$Z$5</c:f>
            </c:numRef>
          </c:yVal>
          <c:smooth val="1"/>
          <c:extLst>
            <c:ext xmlns:c16="http://schemas.microsoft.com/office/drawing/2014/chart" uri="{C3380CC4-5D6E-409C-BE32-E72D297353CC}">
              <c16:uniqueId val="{00000000-5D95-443C-B1D2-6BED9B010AD5}"/>
            </c:ext>
          </c:extLst>
        </c:ser>
        <c:dLbls>
          <c:showLegendKey val="0"/>
          <c:showVal val="0"/>
          <c:showCatName val="0"/>
          <c:showSerName val="0"/>
          <c:showPercent val="0"/>
          <c:showBubbleSize val="0"/>
        </c:dLbls>
        <c:axId val="143860096"/>
        <c:axId val="143862016"/>
      </c:scatterChart>
      <c:valAx>
        <c:axId val="1438600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3862016"/>
        <c:crosses val="autoZero"/>
        <c:crossBetween val="midCat"/>
      </c:valAx>
      <c:valAx>
        <c:axId val="143862016"/>
        <c:scaling>
          <c:orientation val="minMax"/>
          <c:max val="-0.15000000000000002"/>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38600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6842243278601279"/>
                  <c:y val="-1.6446806021351935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Uncertanties!$Y$4:$Y$5</c:f>
            </c:numRef>
          </c:xVal>
          <c:yVal>
            <c:numRef>
              <c:f>Uncertanties!$AA$4:$AA$5</c:f>
            </c:numRef>
          </c:yVal>
          <c:smooth val="1"/>
          <c:extLst>
            <c:ext xmlns:c16="http://schemas.microsoft.com/office/drawing/2014/chart" uri="{C3380CC4-5D6E-409C-BE32-E72D297353CC}">
              <c16:uniqueId val="{00000000-F51A-4264-8230-BAA160561245}"/>
            </c:ext>
          </c:extLst>
        </c:ser>
        <c:dLbls>
          <c:showLegendKey val="0"/>
          <c:showVal val="0"/>
          <c:showCatName val="0"/>
          <c:showSerName val="0"/>
          <c:showPercent val="0"/>
          <c:showBubbleSize val="0"/>
        </c:dLbls>
        <c:axId val="105476096"/>
        <c:axId val="105477632"/>
      </c:scatterChart>
      <c:valAx>
        <c:axId val="1054760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5477632"/>
        <c:crosses val="autoZero"/>
        <c:crossBetween val="midCat"/>
      </c:valAx>
      <c:valAx>
        <c:axId val="105477632"/>
        <c:scaling>
          <c:orientation val="minMax"/>
          <c:min val="0.60000000000000009"/>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54760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dispRSqr val="1"/>
            <c:dispEq val="1"/>
            <c:trendlineLbl>
              <c:layout>
                <c:manualLayout>
                  <c:x val="-0.1183748639872116"/>
                  <c:y val="-3.2429906603607693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(Data!$E$2,Data!$F$2,Data!$G$2,Data!$H$2)</c:f>
              <c:numCache>
                <c:formatCode>General</c:formatCode>
                <c:ptCount val="4"/>
                <c:pt idx="0">
                  <c:v>2016</c:v>
                </c:pt>
                <c:pt idx="1">
                  <c:v>2020</c:v>
                </c:pt>
                <c:pt idx="2">
                  <c:v>2025</c:v>
                </c:pt>
                <c:pt idx="3">
                  <c:v>2030</c:v>
                </c:pt>
              </c:numCache>
            </c:numRef>
          </c:xVal>
          <c:yVal>
            <c:numRef>
              <c:f>(Data!$E$17,Data!$F$17,Data!$G$17,Data!$H$17)</c:f>
              <c:numCache>
                <c:formatCode>General</c:formatCode>
                <c:ptCount val="4"/>
                <c:pt idx="0">
                  <c:v>0.36749999999999999</c:v>
                </c:pt>
                <c:pt idx="1">
                  <c:v>0.2908</c:v>
                </c:pt>
                <c:pt idx="2">
                  <c:v>0.217</c:v>
                </c:pt>
                <c:pt idx="3">
                  <c:v>0.16200000000000001</c:v>
                </c:pt>
              </c:numCache>
            </c:numRef>
          </c:yVal>
          <c:smooth val="1"/>
          <c:extLst>
            <c:ext xmlns:c16="http://schemas.microsoft.com/office/drawing/2014/chart" uri="{C3380CC4-5D6E-409C-BE32-E72D297353CC}">
              <c16:uniqueId val="{00000000-0658-41FB-A68F-5045E6066045}"/>
            </c:ext>
          </c:extLst>
        </c:ser>
        <c:dLbls>
          <c:showLegendKey val="0"/>
          <c:showVal val="0"/>
          <c:showCatName val="0"/>
          <c:showSerName val="0"/>
          <c:showPercent val="0"/>
          <c:showBubbleSize val="0"/>
        </c:dLbls>
        <c:axId val="105495552"/>
        <c:axId val="105505536"/>
      </c:scatterChart>
      <c:valAx>
        <c:axId val="105495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5505536"/>
        <c:crosses val="autoZero"/>
        <c:crossBetween val="midCat"/>
      </c:valAx>
      <c:valAx>
        <c:axId val="105505536"/>
        <c:scaling>
          <c:orientation val="minMax"/>
          <c:min val="0.1500000000000000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549555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dispRSqr val="1"/>
            <c:dispEq val="1"/>
            <c:trendlineLbl>
              <c:layout>
                <c:manualLayout>
                  <c:x val="-4.5996006097846195E-2"/>
                  <c:y val="2.8450466850241083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(Data!$E$2,Data!$F$2,Data!$G$2,Data!$H$2)</c:f>
              <c:numCache>
                <c:formatCode>General</c:formatCode>
                <c:ptCount val="4"/>
                <c:pt idx="0">
                  <c:v>2016</c:v>
                </c:pt>
                <c:pt idx="1">
                  <c:v>2020</c:v>
                </c:pt>
                <c:pt idx="2">
                  <c:v>2025</c:v>
                </c:pt>
                <c:pt idx="3">
                  <c:v>2030</c:v>
                </c:pt>
              </c:numCache>
            </c:numRef>
          </c:xVal>
          <c:yVal>
            <c:numRef>
              <c:f>(Data!$E$18,Data!$F$18,Data!$G$18,Data!$H$18)</c:f>
              <c:numCache>
                <c:formatCode>0.000</c:formatCode>
                <c:ptCount val="4"/>
                <c:pt idx="0" formatCode="General">
                  <c:v>0.105</c:v>
                </c:pt>
                <c:pt idx="1">
                  <c:v>8.5000000000000006E-2</c:v>
                </c:pt>
                <c:pt idx="2" formatCode="General">
                  <c:v>6.5600000000000006E-2</c:v>
                </c:pt>
                <c:pt idx="3">
                  <c:v>5.0500000000000003E-2</c:v>
                </c:pt>
              </c:numCache>
            </c:numRef>
          </c:yVal>
          <c:smooth val="1"/>
          <c:extLst>
            <c:ext xmlns:c16="http://schemas.microsoft.com/office/drawing/2014/chart" uri="{C3380CC4-5D6E-409C-BE32-E72D297353CC}">
              <c16:uniqueId val="{00000000-9173-4B3E-96CE-8579E83732D9}"/>
            </c:ext>
          </c:extLst>
        </c:ser>
        <c:dLbls>
          <c:showLegendKey val="0"/>
          <c:showVal val="0"/>
          <c:showCatName val="0"/>
          <c:showSerName val="0"/>
          <c:showPercent val="0"/>
          <c:showBubbleSize val="0"/>
        </c:dLbls>
        <c:axId val="108161280"/>
        <c:axId val="108163072"/>
      </c:scatterChart>
      <c:valAx>
        <c:axId val="1081612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8163072"/>
        <c:crosses val="autoZero"/>
        <c:crossBetween val="midCat"/>
      </c:valAx>
      <c:valAx>
        <c:axId val="108163072"/>
        <c:scaling>
          <c:orientation val="minMax"/>
          <c:min val="4.0000000000000008E-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816128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5.6074448220389483E-2"/>
                  <c:y val="0.64485321716402233"/>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Uncertanties!$S$5:$S$6</c:f>
            </c:numRef>
          </c:xVal>
          <c:yVal>
            <c:numRef>
              <c:f>Uncertanties!$T$5:$T$6</c:f>
            </c:numRef>
          </c:yVal>
          <c:smooth val="1"/>
          <c:extLst>
            <c:ext xmlns:c16="http://schemas.microsoft.com/office/drawing/2014/chart" uri="{C3380CC4-5D6E-409C-BE32-E72D297353CC}">
              <c16:uniqueId val="{00000000-C231-4FA5-A90A-E7B071EDF8F4}"/>
            </c:ext>
          </c:extLst>
        </c:ser>
        <c:dLbls>
          <c:showLegendKey val="0"/>
          <c:showVal val="0"/>
          <c:showCatName val="0"/>
          <c:showSerName val="0"/>
          <c:showPercent val="0"/>
          <c:showBubbleSize val="0"/>
        </c:dLbls>
        <c:axId val="108180992"/>
        <c:axId val="108182528"/>
      </c:scatterChart>
      <c:valAx>
        <c:axId val="1081809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8182528"/>
        <c:crosses val="autoZero"/>
        <c:crossBetween val="midCat"/>
      </c:valAx>
      <c:valAx>
        <c:axId val="108182528"/>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818099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70"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121"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121"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121"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zoomScale="95"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70"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zoomScale="70"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sheetViews>
    <sheetView zoomScale="70" workbookViewId="0" zoomToFit="1"/>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sheetViews>
    <sheetView zoomScale="7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18</xdr:col>
      <xdr:colOff>647700</xdr:colOff>
      <xdr:row>1</xdr:row>
      <xdr:rowOff>171450</xdr:rowOff>
    </xdr:from>
    <xdr:to>
      <xdr:col>27</xdr:col>
      <xdr:colOff>389700</xdr:colOff>
      <xdr:row>10</xdr:row>
      <xdr:rowOff>144311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354300" y="933450"/>
          <a:ext cx="6600000" cy="46095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8654143" cy="6272893"/>
    <xdr:graphicFrame macro="">
      <xdr:nvGraphicFramePr>
        <xdr:cNvPr id="2" name="Gráfico 1">
          <a:extLst>
            <a:ext uri="{FF2B5EF4-FFF2-40B4-BE49-F238E27FC236}">
              <a16:creationId xmlns:a16="http://schemas.microsoft.com/office/drawing/2014/main" id="{632307D9-21DE-447B-B38B-F9F65F33708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4143" cy="6272893"/>
    <xdr:graphicFrame macro="">
      <xdr:nvGraphicFramePr>
        <xdr:cNvPr id="2" name="Gráfico 1">
          <a:extLst>
            <a:ext uri="{FF2B5EF4-FFF2-40B4-BE49-F238E27FC236}">
              <a16:creationId xmlns:a16="http://schemas.microsoft.com/office/drawing/2014/main" id="{E690C729-CB2C-42A8-BE5B-E7F0883A1E2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12459" cy="6077107"/>
    <xdr:graphicFrame macro="">
      <xdr:nvGraphicFramePr>
        <xdr:cNvPr id="2" name="Gráfico 1">
          <a:extLst>
            <a:ext uri="{FF2B5EF4-FFF2-40B4-BE49-F238E27FC236}">
              <a16:creationId xmlns:a16="http://schemas.microsoft.com/office/drawing/2014/main" id="{749760AA-C764-4750-87A2-008EB214D48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12459" cy="6077107"/>
    <xdr:graphicFrame macro="">
      <xdr:nvGraphicFramePr>
        <xdr:cNvPr id="2" name="Gráfico 1">
          <a:extLst>
            <a:ext uri="{FF2B5EF4-FFF2-40B4-BE49-F238E27FC236}">
              <a16:creationId xmlns:a16="http://schemas.microsoft.com/office/drawing/2014/main" id="{038474CD-27B9-43EE-B0FC-853FB8EED51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12459" cy="6077107"/>
    <xdr:graphicFrame macro="">
      <xdr:nvGraphicFramePr>
        <xdr:cNvPr id="2" name="Gráfico 1">
          <a:extLst>
            <a:ext uri="{FF2B5EF4-FFF2-40B4-BE49-F238E27FC236}">
              <a16:creationId xmlns:a16="http://schemas.microsoft.com/office/drawing/2014/main" id="{707E3779-AE1C-4440-AB60-7A72E889CC4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4395" cy="6075947"/>
    <xdr:graphicFrame macro="">
      <xdr:nvGraphicFramePr>
        <xdr:cNvPr id="2" name="Gráfico 1">
          <a:extLst>
            <a:ext uri="{FF2B5EF4-FFF2-40B4-BE49-F238E27FC236}">
              <a16:creationId xmlns:a16="http://schemas.microsoft.com/office/drawing/2014/main" id="{C2C9E0A0-B53C-4FDA-A6B7-10AB821CA64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54143" cy="6272893"/>
    <xdr:graphicFrame macro="">
      <xdr:nvGraphicFramePr>
        <xdr:cNvPr id="2" name="Gráfico 1">
          <a:extLst>
            <a:ext uri="{FF2B5EF4-FFF2-40B4-BE49-F238E27FC236}">
              <a16:creationId xmlns:a16="http://schemas.microsoft.com/office/drawing/2014/main" id="{166926FE-55F0-4091-915B-25F3E32E463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54143" cy="6272893"/>
    <xdr:graphicFrame macro="">
      <xdr:nvGraphicFramePr>
        <xdr:cNvPr id="2" name="Gráfico 1">
          <a:extLst>
            <a:ext uri="{FF2B5EF4-FFF2-40B4-BE49-F238E27FC236}">
              <a16:creationId xmlns:a16="http://schemas.microsoft.com/office/drawing/2014/main" id="{2DD5C20F-7464-41A9-9CBC-DF537E7EB30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54143" cy="6272893"/>
    <xdr:graphicFrame macro="">
      <xdr:nvGraphicFramePr>
        <xdr:cNvPr id="2" name="Gráfico 1">
          <a:extLst>
            <a:ext uri="{FF2B5EF4-FFF2-40B4-BE49-F238E27FC236}">
              <a16:creationId xmlns:a16="http://schemas.microsoft.com/office/drawing/2014/main" id="{BDF34F30-2F0D-4E79-BC4E-F07C62267B0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s.dk/0110_2014%20teknologikatalog%20opdat/Fase%203/PV%20HURTIG%20JAN2017/oktober%202017/Copy%20of%2020-23_electricity_generation_-_non-thermal_processes_solar%20PV%20_%20data%20sheet%20rin%2011ok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PROY%20ALM%20ENE/DS%20REF/MX%20TC%20Data%20Sheets%20Draft1_Ver_191127a%20SPI%20(Autoguard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PC\Desktop\COOP%20DANESA\Catalogue\MX%20TC%20Data%20Sheets%20-%20final%20draft_revis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 Photovoltaics  LARGE Old"/>
      <sheetName val="arbejds ark LARGE New"/>
      <sheetName val="22 Photovoltaics  SMALL old "/>
      <sheetName val="fra leverandører"/>
      <sheetName val="22 Photovoltaics  LARGE new"/>
    </sheetNames>
    <sheetDataSet>
      <sheetData sheetId="0">
        <row r="2">
          <cell r="N2">
            <v>0.98501248959200671</v>
          </cell>
        </row>
      </sheetData>
      <sheetData sheetId="1">
        <row r="33">
          <cell r="K33">
            <v>1.0720000000000001</v>
          </cell>
        </row>
        <row r="67">
          <cell r="S67">
            <v>0.97574759572313619</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S"/>
      <sheetName val="Li-Ion Battery"/>
      <sheetName val="Lead acid battery"/>
      <sheetName val="Na-S Battery"/>
      <sheetName val="VR Flow Battery"/>
      <sheetName val="CAES"/>
      <sheetName val="Molten Salt"/>
      <sheetName val="Supercapacitors"/>
      <sheetName val="Flywheels"/>
    </sheetNames>
    <sheetDataSet>
      <sheetData sheetId="0" refreshError="1"/>
      <sheetData sheetId="1"/>
      <sheetData sheetId="2"/>
      <sheetData sheetId="3"/>
      <sheetData sheetId="4" refreshError="1"/>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 Pump Hydro Storage"/>
      <sheetName val="PHS - Datos revisión"/>
      <sheetName val="03 Lithium Ion Battery"/>
      <sheetName val="04 Lead-Acid Battery"/>
      <sheetName val="Lead Acid - Datos revisión."/>
      <sheetName val="05 Na-S Battery"/>
      <sheetName val="Na-S - Datos revision"/>
      <sheetName val="06 Vanadium Redox Flow Battery"/>
      <sheetName val="07 Molten Salt Storage 2f"/>
      <sheetName val="Molten Salt -Datos revisión "/>
      <sheetName val="08 CAES"/>
      <sheetName val="09 Supercapacitors"/>
      <sheetName val="Supercapacit - Datos recientes"/>
      <sheetName val="10 Flywheels"/>
      <sheetName val="Flywheels - Datos recientes"/>
      <sheetName val="VR Flow - Datos revision"/>
      <sheetName val="CAES -Datos reci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irena.org/-/media/Files/IRENA/Agency/Events/2017/Mar/15/2017_Kairies_Battery_Cost_and_Performance_01.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irena.org/-/media/Files/IRENA/Agency/Events/2017/Mar/15/2017_Kairies_Battery_Cost_and_Performance_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Y94"/>
  <sheetViews>
    <sheetView showGridLines="0" topLeftCell="A28" zoomScale="80" zoomScaleNormal="80" workbookViewId="0">
      <selection activeCell="D49" sqref="D49"/>
    </sheetView>
  </sheetViews>
  <sheetFormatPr baseColWidth="10" defaultColWidth="9.140625" defaultRowHeight="15" x14ac:dyDescent="0.3"/>
  <cols>
    <col min="1" max="1" width="102.5703125" style="5" customWidth="1"/>
    <col min="2" max="2" width="56.42578125" style="5" hidden="1" customWidth="1"/>
    <col min="3" max="3" width="5.140625" style="5" customWidth="1"/>
    <col min="4" max="11" width="10.7109375" style="5" customWidth="1"/>
    <col min="12" max="12" width="17.140625" style="5" customWidth="1"/>
    <col min="13" max="16384" width="9.140625" style="5"/>
  </cols>
  <sheetData>
    <row r="1" spans="1:25" ht="15.75" thickBot="1" x14ac:dyDescent="0.35">
      <c r="C1" s="4"/>
    </row>
    <row r="2" spans="1:25" ht="20.100000000000001" customHeight="1" x14ac:dyDescent="0.3">
      <c r="A2" s="104" t="s">
        <v>141</v>
      </c>
      <c r="B2" s="64" t="s">
        <v>0</v>
      </c>
      <c r="D2" s="85" t="s">
        <v>174</v>
      </c>
      <c r="E2" s="85"/>
      <c r="F2" s="85"/>
      <c r="G2" s="85"/>
      <c r="H2" s="85"/>
      <c r="I2" s="85"/>
      <c r="J2" s="85"/>
      <c r="K2" s="85"/>
      <c r="L2" s="86"/>
      <c r="M2" s="87"/>
      <c r="N2" s="88"/>
      <c r="O2" s="89"/>
      <c r="P2" s="89"/>
      <c r="Q2" s="89"/>
      <c r="R2" s="89"/>
      <c r="S2" s="89"/>
      <c r="T2" s="89"/>
      <c r="U2" s="89"/>
      <c r="V2" s="89"/>
      <c r="W2" s="89"/>
      <c r="X2" s="89"/>
      <c r="Y2" s="89"/>
    </row>
    <row r="3" spans="1:25" ht="25.5" customHeight="1" x14ac:dyDescent="0.35">
      <c r="A3" s="77"/>
      <c r="B3" s="65"/>
      <c r="D3" s="55">
        <v>2020</v>
      </c>
      <c r="E3" s="55">
        <v>2030</v>
      </c>
      <c r="F3" s="55">
        <v>2050</v>
      </c>
      <c r="G3" s="90" t="s">
        <v>175</v>
      </c>
      <c r="H3" s="91"/>
      <c r="I3" s="92" t="s">
        <v>176</v>
      </c>
      <c r="J3" s="93"/>
      <c r="K3" s="55" t="s">
        <v>179</v>
      </c>
      <c r="L3" s="66" t="s">
        <v>1</v>
      </c>
      <c r="M3" s="87"/>
      <c r="N3" s="88"/>
      <c r="O3" s="89"/>
      <c r="P3" s="89"/>
      <c r="Q3" s="89"/>
      <c r="R3" s="89"/>
      <c r="S3" s="89"/>
      <c r="T3" s="89"/>
      <c r="U3" s="89"/>
      <c r="V3" s="89"/>
      <c r="W3" s="89"/>
      <c r="X3" s="89"/>
      <c r="Y3" s="89"/>
    </row>
    <row r="4" spans="1:25" ht="20.100000000000001" customHeight="1" x14ac:dyDescent="0.3">
      <c r="A4" s="78" t="s">
        <v>142</v>
      </c>
      <c r="B4" s="67" t="s">
        <v>2</v>
      </c>
      <c r="D4" s="55"/>
      <c r="E4" s="55"/>
      <c r="F4" s="55"/>
      <c r="G4" s="55" t="s">
        <v>178</v>
      </c>
      <c r="H4" s="55" t="s">
        <v>177</v>
      </c>
      <c r="I4" s="55" t="s">
        <v>178</v>
      </c>
      <c r="J4" s="55" t="s">
        <v>177</v>
      </c>
      <c r="K4" s="55"/>
      <c r="L4" s="66"/>
      <c r="M4" s="96"/>
      <c r="N4" s="97"/>
      <c r="O4" s="89"/>
      <c r="P4" s="89"/>
      <c r="Q4" s="89"/>
      <c r="R4" s="89"/>
      <c r="S4" s="89"/>
      <c r="T4" s="89"/>
      <c r="U4" s="89"/>
      <c r="V4" s="89"/>
      <c r="W4" s="89"/>
      <c r="X4" s="89"/>
      <c r="Y4" s="89"/>
    </row>
    <row r="5" spans="1:25" ht="20.100000000000001" customHeight="1" x14ac:dyDescent="0.3">
      <c r="A5" s="79" t="s">
        <v>143</v>
      </c>
      <c r="B5" s="68" t="s">
        <v>3</v>
      </c>
      <c r="D5" s="99" t="s">
        <v>180</v>
      </c>
      <c r="E5" s="100"/>
      <c r="F5" s="101"/>
      <c r="G5" s="54"/>
      <c r="H5" s="54"/>
      <c r="I5" s="54"/>
      <c r="J5" s="54"/>
      <c r="K5" s="54"/>
      <c r="L5" s="69"/>
      <c r="M5" s="94"/>
      <c r="N5" s="95"/>
      <c r="O5" s="89"/>
      <c r="P5" s="89"/>
      <c r="Q5" s="89"/>
      <c r="R5" s="89"/>
      <c r="S5" s="89"/>
      <c r="T5" s="89"/>
      <c r="U5" s="89"/>
      <c r="V5" s="89"/>
      <c r="W5" s="89"/>
      <c r="X5" s="89"/>
      <c r="Y5" s="89"/>
    </row>
    <row r="6" spans="1:25" ht="27" customHeight="1" x14ac:dyDescent="0.3">
      <c r="A6" s="79" t="s">
        <v>144</v>
      </c>
      <c r="B6" s="68" t="s">
        <v>4</v>
      </c>
      <c r="D6" s="99" t="s">
        <v>181</v>
      </c>
      <c r="E6" s="100"/>
      <c r="F6" s="101"/>
      <c r="G6" s="54"/>
      <c r="H6" s="54"/>
      <c r="I6" s="54"/>
      <c r="J6" s="54"/>
      <c r="K6" s="54"/>
      <c r="L6" s="69"/>
      <c r="M6" s="94"/>
      <c r="N6" s="95"/>
      <c r="O6" s="89"/>
      <c r="P6" s="89"/>
      <c r="Q6" s="89"/>
      <c r="R6" s="89"/>
      <c r="S6" s="89"/>
      <c r="T6" s="89"/>
      <c r="U6" s="89"/>
      <c r="V6" s="89"/>
      <c r="W6" s="89"/>
      <c r="X6" s="89"/>
      <c r="Y6" s="89"/>
    </row>
    <row r="7" spans="1:25" ht="20.100000000000001" customHeight="1" x14ac:dyDescent="0.3">
      <c r="A7" s="79" t="s">
        <v>145</v>
      </c>
      <c r="B7" s="68" t="s">
        <v>5</v>
      </c>
      <c r="D7" s="54">
        <v>30</v>
      </c>
      <c r="E7" s="54">
        <v>30</v>
      </c>
      <c r="F7" s="54">
        <v>30</v>
      </c>
      <c r="G7" s="54">
        <v>30</v>
      </c>
      <c r="H7" s="54">
        <v>30</v>
      </c>
      <c r="I7" s="54">
        <v>30</v>
      </c>
      <c r="J7" s="54">
        <v>30</v>
      </c>
      <c r="K7" s="54"/>
      <c r="L7" s="69" t="s">
        <v>6</v>
      </c>
      <c r="M7" s="7"/>
      <c r="N7" s="7"/>
      <c r="O7" s="89"/>
      <c r="P7" s="89"/>
      <c r="Q7" s="89"/>
      <c r="R7" s="89"/>
      <c r="S7" s="89"/>
      <c r="T7" s="89"/>
      <c r="U7" s="89"/>
      <c r="V7" s="89"/>
      <c r="W7" s="89"/>
      <c r="X7" s="89"/>
      <c r="Y7" s="89"/>
    </row>
    <row r="8" spans="1:25" ht="20.100000000000001" customHeight="1" x14ac:dyDescent="0.3">
      <c r="A8" s="79" t="s">
        <v>146</v>
      </c>
      <c r="B8" s="68" t="s">
        <v>7</v>
      </c>
      <c r="D8" s="54">
        <f>D7/2</f>
        <v>15</v>
      </c>
      <c r="E8" s="54">
        <f t="shared" ref="E8:J8" si="0">E7/2</f>
        <v>15</v>
      </c>
      <c r="F8" s="54">
        <f t="shared" si="0"/>
        <v>15</v>
      </c>
      <c r="G8" s="54">
        <f t="shared" si="0"/>
        <v>15</v>
      </c>
      <c r="H8" s="54">
        <f t="shared" si="0"/>
        <v>15</v>
      </c>
      <c r="I8" s="54">
        <f t="shared" si="0"/>
        <v>15</v>
      </c>
      <c r="J8" s="54">
        <f t="shared" si="0"/>
        <v>15</v>
      </c>
      <c r="K8" s="54"/>
      <c r="L8" s="69" t="s">
        <v>6</v>
      </c>
      <c r="M8" s="94"/>
      <c r="N8" s="95"/>
      <c r="O8" s="89"/>
      <c r="P8" s="89"/>
      <c r="Q8" s="89"/>
      <c r="R8" s="89"/>
      <c r="S8" s="89"/>
      <c r="T8" s="89"/>
      <c r="U8" s="89"/>
      <c r="V8" s="89"/>
      <c r="W8" s="89"/>
      <c r="X8" s="89"/>
      <c r="Y8" s="89"/>
    </row>
    <row r="9" spans="1:25" ht="20.100000000000001" customHeight="1" x14ac:dyDescent="0.3">
      <c r="A9" s="79" t="s">
        <v>147</v>
      </c>
      <c r="B9" s="68" t="s">
        <v>8</v>
      </c>
      <c r="D9" s="54">
        <f>D8</f>
        <v>15</v>
      </c>
      <c r="E9" s="54">
        <f t="shared" ref="E9:J9" si="1">E8</f>
        <v>15</v>
      </c>
      <c r="F9" s="54">
        <f t="shared" si="1"/>
        <v>15</v>
      </c>
      <c r="G9" s="54">
        <f t="shared" si="1"/>
        <v>15</v>
      </c>
      <c r="H9" s="54">
        <f t="shared" si="1"/>
        <v>15</v>
      </c>
      <c r="I9" s="54">
        <f t="shared" si="1"/>
        <v>15</v>
      </c>
      <c r="J9" s="54">
        <f t="shared" si="1"/>
        <v>15</v>
      </c>
      <c r="K9" s="56" t="s">
        <v>9</v>
      </c>
      <c r="L9" s="69" t="s">
        <v>6</v>
      </c>
      <c r="M9" s="94"/>
      <c r="N9" s="95"/>
      <c r="O9" s="89"/>
      <c r="P9" s="89"/>
      <c r="Q9" s="89"/>
      <c r="R9" s="89"/>
      <c r="S9" s="89"/>
      <c r="T9" s="89"/>
      <c r="U9" s="89"/>
      <c r="V9" s="89"/>
      <c r="W9" s="89"/>
      <c r="X9" s="89"/>
      <c r="Y9" s="89"/>
    </row>
    <row r="10" spans="1:25" ht="20.100000000000001" customHeight="1" x14ac:dyDescent="0.3">
      <c r="A10" s="79" t="s">
        <v>148</v>
      </c>
      <c r="B10" s="68" t="s">
        <v>10</v>
      </c>
      <c r="D10" s="54">
        <v>81</v>
      </c>
      <c r="E10" s="57">
        <f>Data!O6</f>
        <v>83.361445783132538</v>
      </c>
      <c r="F10" s="57">
        <f>Data!P6</f>
        <v>83.361445783132538</v>
      </c>
      <c r="G10" s="57">
        <f>$D$10+($D$10*Uncertanties!L3)</f>
        <v>69.289156626506028</v>
      </c>
      <c r="H10" s="57">
        <f>$D$10+($D$10*Uncertanties!M3)</f>
        <v>89.783132530120483</v>
      </c>
      <c r="I10" s="57">
        <f>$E$10+($E$10*Uncertanties!N3)</f>
        <v>71.806465698795193</v>
      </c>
      <c r="J10" s="57">
        <f>$E$10+($E$10*Uncertanties!O3)</f>
        <v>92.938258759036145</v>
      </c>
      <c r="K10" s="54" t="s">
        <v>173</v>
      </c>
      <c r="L10" s="69" t="s">
        <v>11</v>
      </c>
      <c r="M10" s="94"/>
      <c r="N10" s="95"/>
      <c r="O10" s="89"/>
      <c r="P10" s="89"/>
      <c r="Q10" s="89"/>
      <c r="R10" s="89"/>
      <c r="S10" s="89"/>
      <c r="T10" s="89"/>
      <c r="U10" s="89"/>
      <c r="V10" s="89"/>
      <c r="W10" s="89"/>
      <c r="X10" s="89"/>
      <c r="Y10" s="89"/>
    </row>
    <row r="11" spans="1:25" ht="20.100000000000001" customHeight="1" x14ac:dyDescent="0.3">
      <c r="A11" s="80" t="s">
        <v>149</v>
      </c>
      <c r="B11" s="68" t="s">
        <v>140</v>
      </c>
      <c r="D11" s="54">
        <f>POWER(D10/100,0.5)*100</f>
        <v>90</v>
      </c>
      <c r="E11" s="57">
        <f t="shared" ref="E11:J11" si="2">POWER(E10/100,0.5)*100</f>
        <v>91.302489442036872</v>
      </c>
      <c r="F11" s="57">
        <f t="shared" si="2"/>
        <v>91.302489442036872</v>
      </c>
      <c r="G11" s="57">
        <f t="shared" si="2"/>
        <v>83.240108497350022</v>
      </c>
      <c r="H11" s="57">
        <f t="shared" si="2"/>
        <v>94.753961674497006</v>
      </c>
      <c r="I11" s="57">
        <f t="shared" si="2"/>
        <v>84.738695823569998</v>
      </c>
      <c r="J11" s="57">
        <f t="shared" si="2"/>
        <v>96.40449095298213</v>
      </c>
      <c r="K11" s="54" t="s">
        <v>64</v>
      </c>
      <c r="L11" s="69"/>
      <c r="M11" s="94"/>
      <c r="N11" s="95"/>
      <c r="O11" s="89"/>
      <c r="P11" s="89"/>
      <c r="Q11" s="89"/>
      <c r="R11" s="89"/>
      <c r="S11" s="89"/>
      <c r="T11" s="89"/>
      <c r="U11" s="89"/>
      <c r="V11" s="89"/>
      <c r="W11" s="89"/>
      <c r="X11" s="89"/>
      <c r="Y11" s="89"/>
    </row>
    <row r="12" spans="1:25" ht="20.100000000000001" customHeight="1" x14ac:dyDescent="0.3">
      <c r="A12" s="80" t="s">
        <v>150</v>
      </c>
      <c r="B12" s="70" t="s">
        <v>13</v>
      </c>
      <c r="D12" s="54">
        <f>D11</f>
        <v>90</v>
      </c>
      <c r="E12" s="57">
        <f t="shared" ref="E12:J12" si="3">E11</f>
        <v>91.302489442036872</v>
      </c>
      <c r="F12" s="57">
        <f t="shared" si="3"/>
        <v>91.302489442036872</v>
      </c>
      <c r="G12" s="57">
        <f t="shared" si="3"/>
        <v>83.240108497350022</v>
      </c>
      <c r="H12" s="57">
        <f t="shared" si="3"/>
        <v>94.753961674497006</v>
      </c>
      <c r="I12" s="57">
        <f t="shared" si="3"/>
        <v>84.738695823569998</v>
      </c>
      <c r="J12" s="57">
        <f t="shared" si="3"/>
        <v>96.40449095298213</v>
      </c>
      <c r="K12" s="54" t="s">
        <v>64</v>
      </c>
      <c r="L12" s="69"/>
      <c r="M12" s="94"/>
      <c r="N12" s="95"/>
      <c r="O12" s="89"/>
      <c r="P12" s="89"/>
      <c r="Q12" s="89"/>
      <c r="R12" s="89"/>
      <c r="S12" s="89"/>
      <c r="T12" s="89"/>
      <c r="U12" s="89"/>
      <c r="V12" s="89"/>
      <c r="W12" s="89"/>
      <c r="X12" s="89"/>
      <c r="Y12" s="89"/>
    </row>
    <row r="13" spans="1:25" ht="20.100000000000001" customHeight="1" x14ac:dyDescent="0.3">
      <c r="A13" s="79" t="s">
        <v>151</v>
      </c>
      <c r="B13" s="68" t="s">
        <v>14</v>
      </c>
      <c r="D13" s="54">
        <v>0.1</v>
      </c>
      <c r="E13" s="54">
        <v>0.1</v>
      </c>
      <c r="F13" s="54">
        <v>0.1</v>
      </c>
      <c r="G13" s="54">
        <v>0</v>
      </c>
      <c r="H13" s="54">
        <v>1</v>
      </c>
      <c r="I13" s="54">
        <v>0</v>
      </c>
      <c r="J13" s="54">
        <v>1</v>
      </c>
      <c r="K13" s="54"/>
      <c r="L13" s="69" t="s">
        <v>54</v>
      </c>
      <c r="M13" s="94"/>
      <c r="N13" s="95"/>
      <c r="O13" s="89"/>
      <c r="P13" s="89"/>
      <c r="Q13" s="89"/>
      <c r="R13" s="89"/>
      <c r="S13" s="89"/>
      <c r="T13" s="89"/>
      <c r="U13" s="89"/>
      <c r="V13" s="89"/>
      <c r="W13" s="89"/>
      <c r="X13" s="89"/>
      <c r="Y13" s="89"/>
    </row>
    <row r="14" spans="1:25" ht="20.100000000000001" customHeight="1" x14ac:dyDescent="0.3">
      <c r="A14" s="79" t="s">
        <v>152</v>
      </c>
      <c r="B14" s="68" t="s">
        <v>15</v>
      </c>
      <c r="D14" s="54">
        <v>0</v>
      </c>
      <c r="E14" s="54">
        <v>0</v>
      </c>
      <c r="F14" s="54">
        <v>0</v>
      </c>
      <c r="G14" s="54">
        <v>0</v>
      </c>
      <c r="H14" s="54">
        <v>2</v>
      </c>
      <c r="I14" s="54">
        <v>0</v>
      </c>
      <c r="J14" s="54">
        <v>2</v>
      </c>
      <c r="K14" s="54" t="s">
        <v>16</v>
      </c>
      <c r="L14" s="69" t="s">
        <v>12</v>
      </c>
      <c r="M14" s="94"/>
      <c r="N14" s="95"/>
      <c r="O14" s="89"/>
      <c r="P14" s="89"/>
      <c r="Q14" s="89"/>
      <c r="R14" s="89"/>
      <c r="S14" s="89"/>
      <c r="T14" s="89"/>
      <c r="U14" s="89"/>
      <c r="V14" s="89"/>
      <c r="W14" s="89"/>
      <c r="X14" s="89"/>
      <c r="Y14" s="89"/>
    </row>
    <row r="15" spans="1:25" ht="20.100000000000001" customHeight="1" x14ac:dyDescent="0.3">
      <c r="A15" s="79" t="s">
        <v>153</v>
      </c>
      <c r="B15" s="68" t="s">
        <v>17</v>
      </c>
      <c r="D15" s="54">
        <v>0</v>
      </c>
      <c r="E15" s="54">
        <v>0</v>
      </c>
      <c r="F15" s="54">
        <v>0</v>
      </c>
      <c r="G15" s="54">
        <v>0</v>
      </c>
      <c r="H15" s="54">
        <v>0</v>
      </c>
      <c r="I15" s="54">
        <v>0</v>
      </c>
      <c r="J15" s="54">
        <v>0</v>
      </c>
      <c r="K15" s="54" t="s">
        <v>18</v>
      </c>
      <c r="L15" s="69" t="s">
        <v>12</v>
      </c>
      <c r="M15" s="94"/>
      <c r="N15" s="95"/>
      <c r="O15" s="89"/>
      <c r="P15" s="89"/>
      <c r="Q15" s="89"/>
      <c r="R15" s="89"/>
      <c r="S15" s="89"/>
      <c r="T15" s="89"/>
      <c r="U15" s="89"/>
      <c r="V15" s="89"/>
      <c r="W15" s="89"/>
      <c r="X15" s="89"/>
      <c r="Y15" s="89"/>
    </row>
    <row r="16" spans="1:25" ht="20.100000000000001" customHeight="1" x14ac:dyDescent="0.3">
      <c r="A16" s="79" t="s">
        <v>154</v>
      </c>
      <c r="B16" s="68" t="s">
        <v>19</v>
      </c>
      <c r="D16" s="54">
        <v>19</v>
      </c>
      <c r="E16" s="57">
        <f>Data!O12</f>
        <v>24</v>
      </c>
      <c r="F16" s="57">
        <f>Data!P12</f>
        <v>24</v>
      </c>
      <c r="G16" s="57">
        <f>$D$16+($D$16*Uncertanties!L4)</f>
        <v>10</v>
      </c>
      <c r="H16" s="57">
        <f>$D$16+($D$16*Uncertanties!M4)</f>
        <v>28</v>
      </c>
      <c r="I16" s="57">
        <f>$E$16+($E$16*Uncertanties!N4)</f>
        <v>13.107959999999984</v>
      </c>
      <c r="J16" s="57">
        <f>$E$16+($E$16*Uncertanties!O4)</f>
        <v>35.569535999999999</v>
      </c>
      <c r="K16" s="54" t="s">
        <v>173</v>
      </c>
      <c r="L16" s="69" t="s">
        <v>20</v>
      </c>
      <c r="M16" s="94"/>
      <c r="N16" s="95"/>
      <c r="O16" s="89"/>
      <c r="P16" s="89"/>
      <c r="Q16" s="89"/>
      <c r="R16" s="89"/>
      <c r="S16" s="89"/>
      <c r="T16" s="89"/>
      <c r="U16" s="89"/>
      <c r="V16" s="89"/>
      <c r="W16" s="89"/>
      <c r="X16" s="89"/>
      <c r="Y16" s="89"/>
    </row>
    <row r="17" spans="1:25" ht="20.100000000000001" customHeight="1" x14ac:dyDescent="0.3">
      <c r="A17" s="79" t="s">
        <v>155</v>
      </c>
      <c r="B17" s="68" t="s">
        <v>21</v>
      </c>
      <c r="D17" s="54">
        <v>0.5</v>
      </c>
      <c r="E17" s="54">
        <v>0.5</v>
      </c>
      <c r="F17" s="54">
        <v>0.5</v>
      </c>
      <c r="G17" s="54">
        <v>0.2</v>
      </c>
      <c r="H17" s="54">
        <v>2</v>
      </c>
      <c r="I17" s="54">
        <v>0.2</v>
      </c>
      <c r="J17" s="54">
        <v>2</v>
      </c>
      <c r="K17" s="54"/>
      <c r="L17" s="69" t="s">
        <v>22</v>
      </c>
      <c r="M17" s="94"/>
      <c r="N17" s="95"/>
      <c r="O17" s="89"/>
      <c r="P17" s="89"/>
      <c r="Q17" s="89"/>
      <c r="R17" s="89"/>
      <c r="S17" s="89"/>
      <c r="T17" s="89"/>
      <c r="U17" s="89"/>
      <c r="V17" s="89"/>
      <c r="W17" s="89"/>
      <c r="X17" s="89"/>
      <c r="Y17" s="89"/>
    </row>
    <row r="18" spans="1:25" ht="20.100000000000001" customHeight="1" x14ac:dyDescent="0.3">
      <c r="A18" s="79" t="s">
        <v>156</v>
      </c>
      <c r="B18" s="71" t="s">
        <v>36</v>
      </c>
      <c r="D18" s="58">
        <v>5600</v>
      </c>
      <c r="E18" s="57">
        <v>7500</v>
      </c>
      <c r="F18" s="57">
        <v>7500</v>
      </c>
      <c r="G18" s="57">
        <f>$D$18+($D$18*Uncertanties!L6)</f>
        <v>1100</v>
      </c>
      <c r="H18" s="57">
        <f>$D$18+($D$18*Uncertanties!M6)</f>
        <v>11200</v>
      </c>
      <c r="I18" s="57">
        <v>1500</v>
      </c>
      <c r="J18" s="57">
        <f>$E$18+($E$18*Uncertanties!O6)</f>
        <v>15000</v>
      </c>
      <c r="K18" s="59"/>
      <c r="L18" s="69" t="s">
        <v>12</v>
      </c>
      <c r="M18" s="98"/>
      <c r="N18" s="89"/>
      <c r="O18" s="95"/>
      <c r="P18" s="95"/>
      <c r="Q18" s="8"/>
      <c r="R18" s="8"/>
      <c r="S18" s="8"/>
      <c r="T18" s="8"/>
      <c r="U18" s="8"/>
      <c r="V18" s="8"/>
      <c r="W18" s="8"/>
      <c r="X18" s="8"/>
      <c r="Y18" s="8"/>
    </row>
    <row r="19" spans="1:25" ht="20.100000000000001" customHeight="1" x14ac:dyDescent="0.3">
      <c r="A19" s="81" t="s">
        <v>157</v>
      </c>
      <c r="B19" s="67" t="s">
        <v>23</v>
      </c>
      <c r="D19" s="53"/>
      <c r="E19" s="53"/>
      <c r="F19" s="53"/>
      <c r="G19" s="53"/>
      <c r="H19" s="53"/>
      <c r="I19" s="53"/>
      <c r="J19" s="53"/>
      <c r="K19" s="53"/>
      <c r="L19" s="72"/>
      <c r="M19" s="87"/>
      <c r="N19" s="88"/>
      <c r="O19" s="88"/>
      <c r="P19" s="89"/>
      <c r="Q19" s="89"/>
      <c r="R19" s="89"/>
      <c r="S19" s="89"/>
      <c r="T19" s="89"/>
      <c r="U19" s="89"/>
      <c r="V19" s="89"/>
      <c r="W19" s="89"/>
      <c r="X19" s="89"/>
      <c r="Y19" s="89"/>
    </row>
    <row r="20" spans="1:25" ht="20.100000000000001" customHeight="1" x14ac:dyDescent="0.3">
      <c r="A20" s="79" t="s">
        <v>171</v>
      </c>
      <c r="B20" s="68" t="s">
        <v>24</v>
      </c>
      <c r="D20" s="54">
        <v>1E-3</v>
      </c>
      <c r="E20" s="54">
        <v>1E-3</v>
      </c>
      <c r="F20" s="54">
        <v>1E-3</v>
      </c>
      <c r="G20" s="54">
        <v>1E-3</v>
      </c>
      <c r="H20" s="54">
        <v>0.02</v>
      </c>
      <c r="I20" s="54">
        <v>1E-3</v>
      </c>
      <c r="J20" s="54">
        <v>0.02</v>
      </c>
      <c r="K20" s="54" t="s">
        <v>25</v>
      </c>
      <c r="L20" s="69" t="s">
        <v>22</v>
      </c>
      <c r="M20" s="94"/>
      <c r="N20" s="89"/>
      <c r="O20" s="89"/>
      <c r="P20" s="89"/>
      <c r="Q20" s="89"/>
      <c r="R20" s="89"/>
      <c r="S20" s="89"/>
      <c r="T20" s="89"/>
      <c r="U20" s="89"/>
      <c r="V20" s="89"/>
      <c r="W20" s="89"/>
      <c r="X20" s="89"/>
      <c r="Y20" s="89"/>
    </row>
    <row r="21" spans="1:25" ht="20.100000000000001" customHeight="1" x14ac:dyDescent="0.3">
      <c r="A21" s="79" t="s">
        <v>172</v>
      </c>
      <c r="B21" s="68" t="s">
        <v>26</v>
      </c>
      <c r="D21" s="54">
        <v>0.05</v>
      </c>
      <c r="E21" s="54">
        <v>0.05</v>
      </c>
      <c r="F21" s="54">
        <v>0.05</v>
      </c>
      <c r="G21" s="54">
        <v>1E-3</v>
      </c>
      <c r="H21" s="54">
        <v>0.05</v>
      </c>
      <c r="I21" s="54">
        <v>1E-3</v>
      </c>
      <c r="J21" s="54">
        <v>0.05</v>
      </c>
      <c r="K21" s="54" t="s">
        <v>25</v>
      </c>
      <c r="L21" s="69" t="s">
        <v>22</v>
      </c>
      <c r="M21" s="94"/>
      <c r="N21" s="89"/>
      <c r="O21" s="89"/>
      <c r="P21" s="89"/>
      <c r="Q21" s="89"/>
      <c r="R21" s="89"/>
      <c r="S21" s="89"/>
      <c r="T21" s="89"/>
      <c r="U21" s="89"/>
      <c r="V21" s="89"/>
      <c r="W21" s="89"/>
      <c r="X21" s="89"/>
      <c r="Y21" s="89"/>
    </row>
    <row r="22" spans="1:25" ht="20.100000000000001" customHeight="1" x14ac:dyDescent="0.3">
      <c r="A22" s="81" t="s">
        <v>158</v>
      </c>
      <c r="B22" s="67" t="s">
        <v>27</v>
      </c>
      <c r="D22" s="53"/>
      <c r="E22" s="53"/>
      <c r="F22" s="53"/>
      <c r="G22" s="53"/>
      <c r="H22" s="53"/>
      <c r="I22" s="53"/>
      <c r="J22" s="53"/>
      <c r="K22" s="53"/>
      <c r="L22" s="72"/>
      <c r="M22" s="96"/>
      <c r="N22" s="97"/>
      <c r="O22" s="97"/>
      <c r="P22" s="89"/>
      <c r="Q22" s="89"/>
      <c r="R22" s="89"/>
      <c r="S22" s="89"/>
      <c r="T22" s="89"/>
      <c r="U22" s="89"/>
      <c r="V22" s="89"/>
      <c r="W22" s="89"/>
      <c r="X22" s="89"/>
      <c r="Y22" s="89"/>
    </row>
    <row r="23" spans="1:25" ht="20.100000000000001" customHeight="1" x14ac:dyDescent="0.3">
      <c r="A23" s="79" t="s">
        <v>159</v>
      </c>
      <c r="B23" s="68" t="s">
        <v>94</v>
      </c>
      <c r="D23" s="60">
        <f>((D24+D26)*D7+D25*D8)/D7</f>
        <v>0.38330000000000003</v>
      </c>
      <c r="E23" s="60">
        <f t="shared" ref="E23:J23" si="4">((E24+E26)*E7+E25*E8)/E7</f>
        <v>0.21725</v>
      </c>
      <c r="F23" s="60">
        <f t="shared" si="4"/>
        <v>8.9125528619242958E-2</v>
      </c>
      <c r="G23" s="60">
        <f t="shared" si="4"/>
        <v>0.27749999999999997</v>
      </c>
      <c r="H23" s="60">
        <f t="shared" si="4"/>
        <v>0.75825000000000009</v>
      </c>
      <c r="I23" s="60">
        <f t="shared" si="4"/>
        <v>0.15604373999999996</v>
      </c>
      <c r="J23" s="60">
        <f t="shared" si="4"/>
        <v>0.42617342000000014</v>
      </c>
      <c r="K23" s="54"/>
      <c r="L23" s="69" t="s">
        <v>6</v>
      </c>
      <c r="M23" s="94"/>
      <c r="N23" s="95"/>
      <c r="O23" s="89"/>
      <c r="P23" s="89"/>
      <c r="Q23" s="89"/>
      <c r="R23" s="89"/>
      <c r="S23" s="89"/>
      <c r="T23" s="89"/>
      <c r="U23" s="89"/>
      <c r="V23" s="89"/>
      <c r="W23" s="89"/>
      <c r="X23" s="89"/>
      <c r="Y23" s="89"/>
    </row>
    <row r="24" spans="1:25" ht="20.100000000000001" customHeight="1" x14ac:dyDescent="0.3">
      <c r="A24" s="79" t="s">
        <v>160</v>
      </c>
      <c r="B24" s="68" t="s">
        <v>28</v>
      </c>
      <c r="D24" s="61">
        <v>0.2908</v>
      </c>
      <c r="E24" s="61">
        <v>0.16200000000000001</v>
      </c>
      <c r="F24" s="61">
        <f>Data!J17</f>
        <v>5.0236883762580883E-2</v>
      </c>
      <c r="G24" s="61">
        <v>0.2077</v>
      </c>
      <c r="H24" s="61">
        <v>0.58160000000000001</v>
      </c>
      <c r="I24" s="61">
        <v>0.1157</v>
      </c>
      <c r="J24" s="61">
        <v>0.32400000000000001</v>
      </c>
      <c r="K24" s="54"/>
      <c r="L24" s="69" t="s">
        <v>6</v>
      </c>
      <c r="M24" s="7"/>
      <c r="N24" s="7"/>
      <c r="O24" s="89"/>
      <c r="P24" s="89"/>
      <c r="Q24" s="89"/>
      <c r="R24" s="89"/>
      <c r="S24" s="89"/>
      <c r="T24" s="89"/>
      <c r="U24" s="89"/>
      <c r="V24" s="89"/>
      <c r="W24" s="89"/>
      <c r="X24" s="89"/>
      <c r="Y24" s="89"/>
    </row>
    <row r="25" spans="1:25" ht="20.100000000000001" customHeight="1" x14ac:dyDescent="0.3">
      <c r="A25" s="79" t="s">
        <v>161</v>
      </c>
      <c r="B25" s="68" t="s">
        <v>29</v>
      </c>
      <c r="D25" s="62">
        <v>8.5000000000000006E-2</v>
      </c>
      <c r="E25" s="61">
        <v>5.0500000000000003E-2</v>
      </c>
      <c r="F25" s="61">
        <f>Data!J18</f>
        <v>1.7777289713324144E-2</v>
      </c>
      <c r="G25" s="61">
        <v>5.96E-2</v>
      </c>
      <c r="H25" s="61">
        <v>0.15329999999999999</v>
      </c>
      <c r="I25" s="61">
        <v>3.5299999999999998E-2</v>
      </c>
      <c r="J25" s="61">
        <v>9.0999999999999998E-2</v>
      </c>
      <c r="K25" s="54"/>
      <c r="L25" s="69" t="s">
        <v>6</v>
      </c>
      <c r="M25" s="94"/>
      <c r="N25" s="95"/>
      <c r="O25" s="89"/>
      <c r="P25" s="89"/>
      <c r="Q25" s="89"/>
      <c r="R25" s="89"/>
      <c r="S25" s="89"/>
      <c r="T25" s="89"/>
      <c r="U25" s="89"/>
      <c r="V25" s="89"/>
      <c r="W25" s="89"/>
      <c r="X25" s="89"/>
      <c r="Y25" s="89"/>
    </row>
    <row r="26" spans="1:25" ht="20.100000000000001" customHeight="1" x14ac:dyDescent="0.3">
      <c r="A26" s="79" t="s">
        <v>162</v>
      </c>
      <c r="B26" s="68" t="s">
        <v>31</v>
      </c>
      <c r="D26" s="62">
        <v>0.05</v>
      </c>
      <c r="E26" s="60">
        <f>Data!O19</f>
        <v>2.9999999999999995E-2</v>
      </c>
      <c r="F26" s="60">
        <f>Data!P19</f>
        <v>2.9999999999999995E-2</v>
      </c>
      <c r="G26" s="60">
        <f>$D$26+($D$26*Uncertanties!L5)</f>
        <v>0.04</v>
      </c>
      <c r="H26" s="60">
        <f>$D$26+($D$26*Uncertanties!M5)</f>
        <v>0.1</v>
      </c>
      <c r="I26" s="60">
        <f>$E$26+($E$26*Uncertanties!N5)</f>
        <v>2.2693740000000004E-2</v>
      </c>
      <c r="J26" s="60">
        <f>$E$26+($E$26*Uncertanties!O5)</f>
        <v>5.6673420000000078E-2</v>
      </c>
      <c r="K26" s="54"/>
      <c r="L26" s="69" t="s">
        <v>22</v>
      </c>
      <c r="M26" s="94"/>
      <c r="N26" s="95"/>
      <c r="O26" s="89"/>
      <c r="P26" s="89"/>
      <c r="Q26" s="89"/>
      <c r="R26" s="89"/>
      <c r="S26" s="89"/>
      <c r="T26" s="89"/>
      <c r="U26" s="89"/>
      <c r="V26" s="89"/>
      <c r="W26" s="89"/>
      <c r="X26" s="89"/>
      <c r="Y26" s="89"/>
    </row>
    <row r="27" spans="1:25" ht="20.100000000000001" customHeight="1" x14ac:dyDescent="0.3">
      <c r="A27" s="79" t="s">
        <v>163</v>
      </c>
      <c r="B27" s="68" t="s">
        <v>63</v>
      </c>
      <c r="D27" s="63">
        <v>3.996</v>
      </c>
      <c r="E27" s="63">
        <f>Data!O20</f>
        <v>4</v>
      </c>
      <c r="F27" s="63">
        <f>Data!P20</f>
        <v>4</v>
      </c>
      <c r="G27" s="63">
        <f>2*1.11</f>
        <v>2.2200000000000002</v>
      </c>
      <c r="H27" s="63">
        <f>17.3*1.11</f>
        <v>19.203000000000003</v>
      </c>
      <c r="I27" s="63">
        <f>2*1.11</f>
        <v>2.2200000000000002</v>
      </c>
      <c r="J27" s="63">
        <f>17.3*1.11</f>
        <v>19.203000000000003</v>
      </c>
      <c r="K27" s="54"/>
      <c r="L27" s="69" t="s">
        <v>56</v>
      </c>
      <c r="M27" s="94"/>
      <c r="N27" s="95"/>
      <c r="O27" s="89"/>
      <c r="P27" s="89"/>
      <c r="Q27" s="89"/>
      <c r="R27" s="89"/>
      <c r="S27" s="89"/>
      <c r="T27" s="89"/>
      <c r="U27" s="89"/>
      <c r="V27" s="89"/>
      <c r="W27" s="89"/>
      <c r="X27" s="89"/>
      <c r="Y27" s="89"/>
    </row>
    <row r="28" spans="1:25" ht="20.100000000000001" customHeight="1" x14ac:dyDescent="0.3">
      <c r="A28" s="79" t="s">
        <v>164</v>
      </c>
      <c r="B28" s="68" t="s">
        <v>57</v>
      </c>
      <c r="D28" s="63">
        <f>1.8*1.11</f>
        <v>1.9980000000000002</v>
      </c>
      <c r="E28" s="63">
        <f>Data!O21</f>
        <v>2</v>
      </c>
      <c r="F28" s="63">
        <f>Data!P21</f>
        <v>2</v>
      </c>
      <c r="G28" s="63">
        <f>0.3*1.11</f>
        <v>0.33300000000000002</v>
      </c>
      <c r="H28" s="63">
        <f>5.6*1.11</f>
        <v>6.2160000000000002</v>
      </c>
      <c r="I28" s="63">
        <f>0.3*1.11</f>
        <v>0.33300000000000002</v>
      </c>
      <c r="J28" s="63">
        <f>5.6*1.11</f>
        <v>6.2160000000000002</v>
      </c>
      <c r="K28" s="54"/>
      <c r="L28" s="69" t="s">
        <v>56</v>
      </c>
      <c r="M28" s="94"/>
      <c r="N28" s="95"/>
      <c r="O28" s="89"/>
      <c r="P28" s="89"/>
      <c r="Q28" s="89"/>
      <c r="R28" s="89"/>
      <c r="S28" s="89"/>
      <c r="T28" s="89"/>
      <c r="U28" s="89"/>
      <c r="V28" s="89"/>
      <c r="W28" s="89"/>
      <c r="X28" s="89"/>
      <c r="Y28" s="89"/>
    </row>
    <row r="29" spans="1:25" ht="20.100000000000001" customHeight="1" x14ac:dyDescent="0.3">
      <c r="A29" s="81" t="s">
        <v>165</v>
      </c>
      <c r="B29" s="67" t="s">
        <v>34</v>
      </c>
      <c r="D29" s="53"/>
      <c r="E29" s="53"/>
      <c r="F29" s="53"/>
      <c r="G29" s="53"/>
      <c r="H29" s="53"/>
      <c r="I29" s="53"/>
      <c r="J29" s="53"/>
      <c r="K29" s="53"/>
      <c r="L29" s="72"/>
      <c r="M29" s="96"/>
      <c r="N29" s="97"/>
      <c r="O29" s="97"/>
      <c r="P29" s="89"/>
      <c r="Q29" s="89"/>
      <c r="R29" s="89"/>
      <c r="S29" s="89"/>
      <c r="T29" s="89"/>
      <c r="U29" s="89"/>
      <c r="V29" s="89"/>
      <c r="W29" s="89"/>
      <c r="X29" s="89"/>
      <c r="Y29" s="89"/>
    </row>
    <row r="30" spans="1:25" ht="20.100000000000001" customHeight="1" x14ac:dyDescent="0.3">
      <c r="A30" s="82" t="s">
        <v>166</v>
      </c>
      <c r="B30" s="68" t="s">
        <v>35</v>
      </c>
      <c r="D30" s="61">
        <f>((D24+D26)*D7+D25*D8)/D8</f>
        <v>0.76660000000000006</v>
      </c>
      <c r="E30" s="61">
        <f t="shared" ref="E30:J30" si="5">((E24+E26)*E7+E25*E8)/E8</f>
        <v>0.4345</v>
      </c>
      <c r="F30" s="61">
        <f t="shared" si="5"/>
        <v>0.17825105723848592</v>
      </c>
      <c r="G30" s="61">
        <f t="shared" si="5"/>
        <v>0.55499999999999994</v>
      </c>
      <c r="H30" s="61">
        <f t="shared" si="5"/>
        <v>1.5165000000000002</v>
      </c>
      <c r="I30" s="61">
        <f t="shared" si="5"/>
        <v>0.31208747999999992</v>
      </c>
      <c r="J30" s="61">
        <f t="shared" si="5"/>
        <v>0.85234684000000027</v>
      </c>
      <c r="K30" s="54"/>
      <c r="L30" s="69" t="s">
        <v>95</v>
      </c>
      <c r="M30" s="94"/>
      <c r="N30" s="95"/>
      <c r="O30" s="89"/>
      <c r="P30" s="89"/>
      <c r="Q30" s="89"/>
      <c r="R30" s="89"/>
      <c r="S30" s="89"/>
      <c r="T30" s="89"/>
      <c r="U30" s="89"/>
      <c r="V30" s="89"/>
      <c r="W30" s="89"/>
      <c r="X30" s="89"/>
      <c r="Y30" s="89"/>
    </row>
    <row r="31" spans="1:25" ht="20.100000000000001" customHeight="1" x14ac:dyDescent="0.3">
      <c r="A31" s="79" t="s">
        <v>167</v>
      </c>
      <c r="B31" s="68" t="s">
        <v>37</v>
      </c>
      <c r="D31" s="54">
        <f>D33/(D7/D8)</f>
        <v>28</v>
      </c>
      <c r="E31" s="54">
        <f t="shared" ref="E31:J31" si="6">E33/(E7/E8)</f>
        <v>28</v>
      </c>
      <c r="F31" s="54">
        <f t="shared" si="6"/>
        <v>28</v>
      </c>
      <c r="G31" s="54">
        <f t="shared" si="6"/>
        <v>21</v>
      </c>
      <c r="H31" s="54">
        <f t="shared" si="6"/>
        <v>35</v>
      </c>
      <c r="I31" s="54">
        <f t="shared" si="6"/>
        <v>21</v>
      </c>
      <c r="J31" s="54">
        <f t="shared" si="6"/>
        <v>35</v>
      </c>
      <c r="K31" s="54" t="s">
        <v>65</v>
      </c>
      <c r="L31" s="69" t="s">
        <v>22</v>
      </c>
      <c r="M31" s="98"/>
      <c r="N31" s="89"/>
      <c r="O31" s="95"/>
      <c r="P31" s="95"/>
      <c r="Q31" s="8"/>
      <c r="R31" s="8"/>
      <c r="S31" s="8"/>
      <c r="T31" s="8"/>
      <c r="U31" s="8"/>
      <c r="V31" s="8"/>
      <c r="W31" s="8"/>
      <c r="X31" s="8"/>
      <c r="Y31" s="8"/>
    </row>
    <row r="32" spans="1:25" ht="20.100000000000001" customHeight="1" x14ac:dyDescent="0.3">
      <c r="A32" s="79" t="s">
        <v>168</v>
      </c>
      <c r="B32" s="68" t="s">
        <v>38</v>
      </c>
      <c r="D32" s="54">
        <f t="shared" ref="D32:J32" si="7">D34/(D7/D8)</f>
        <v>13000</v>
      </c>
      <c r="E32" s="54">
        <f t="shared" si="7"/>
        <v>13000</v>
      </c>
      <c r="F32" s="54">
        <f t="shared" si="7"/>
        <v>13000</v>
      </c>
      <c r="G32" s="54">
        <f t="shared" si="7"/>
        <v>9750</v>
      </c>
      <c r="H32" s="54">
        <f t="shared" si="7"/>
        <v>16250</v>
      </c>
      <c r="I32" s="54">
        <f t="shared" si="7"/>
        <v>9750</v>
      </c>
      <c r="J32" s="54">
        <f t="shared" si="7"/>
        <v>16250</v>
      </c>
      <c r="K32" s="54" t="s">
        <v>65</v>
      </c>
      <c r="L32" s="69" t="s">
        <v>22</v>
      </c>
      <c r="M32" s="98"/>
      <c r="N32" s="89"/>
      <c r="O32" s="95"/>
      <c r="P32" s="95"/>
      <c r="Q32" s="8"/>
      <c r="R32" s="8"/>
      <c r="S32" s="8"/>
      <c r="T32" s="8"/>
      <c r="U32" s="8"/>
      <c r="V32" s="8"/>
      <c r="W32" s="8"/>
      <c r="X32" s="8"/>
      <c r="Y32" s="9"/>
    </row>
    <row r="33" spans="1:25" ht="20.100000000000001" customHeight="1" x14ac:dyDescent="0.3">
      <c r="A33" s="79" t="s">
        <v>169</v>
      </c>
      <c r="B33" s="68" t="s">
        <v>39</v>
      </c>
      <c r="D33" s="54">
        <v>56</v>
      </c>
      <c r="E33" s="54">
        <v>56</v>
      </c>
      <c r="F33" s="54">
        <v>56</v>
      </c>
      <c r="G33" s="54">
        <v>42</v>
      </c>
      <c r="H33" s="54">
        <v>70</v>
      </c>
      <c r="I33" s="54">
        <f t="shared" ref="I33:I34" si="8">G33</f>
        <v>42</v>
      </c>
      <c r="J33" s="54">
        <f t="shared" ref="J33:J34" si="9">H33</f>
        <v>70</v>
      </c>
      <c r="K33" s="54" t="s">
        <v>66</v>
      </c>
      <c r="L33" s="69" t="s">
        <v>22</v>
      </c>
      <c r="M33" s="98"/>
      <c r="N33" s="89"/>
      <c r="O33" s="95"/>
      <c r="P33" s="95"/>
      <c r="Q33" s="8"/>
      <c r="R33" s="8"/>
      <c r="S33" s="8"/>
      <c r="T33" s="8"/>
      <c r="U33" s="8"/>
      <c r="V33" s="8"/>
      <c r="W33" s="8"/>
      <c r="X33" s="8"/>
      <c r="Y33" s="9"/>
    </row>
    <row r="34" spans="1:25" ht="20.100000000000001" customHeight="1" thickBot="1" x14ac:dyDescent="0.35">
      <c r="A34" s="79" t="s">
        <v>170</v>
      </c>
      <c r="B34" s="73" t="s">
        <v>40</v>
      </c>
      <c r="D34" s="74">
        <v>26000</v>
      </c>
      <c r="E34" s="74">
        <v>26000</v>
      </c>
      <c r="F34" s="74">
        <v>26000</v>
      </c>
      <c r="G34" s="74">
        <v>19500</v>
      </c>
      <c r="H34" s="74">
        <v>32500</v>
      </c>
      <c r="I34" s="74">
        <f t="shared" si="8"/>
        <v>19500</v>
      </c>
      <c r="J34" s="74">
        <f t="shared" si="9"/>
        <v>32500</v>
      </c>
      <c r="K34" s="74" t="s">
        <v>66</v>
      </c>
      <c r="L34" s="75" t="s">
        <v>22</v>
      </c>
      <c r="M34" s="10"/>
      <c r="N34" s="11"/>
      <c r="O34" s="95"/>
      <c r="P34" s="95"/>
      <c r="Q34" s="8"/>
      <c r="R34" s="8"/>
      <c r="S34" s="8"/>
      <c r="T34" s="8"/>
      <c r="U34" s="8"/>
      <c r="V34" s="8"/>
      <c r="W34" s="8"/>
      <c r="X34" s="8"/>
      <c r="Y34" s="9"/>
    </row>
    <row r="35" spans="1:25" x14ac:dyDescent="0.3">
      <c r="C35" s="12"/>
    </row>
    <row r="36" spans="1:25" ht="18" x14ac:dyDescent="0.3">
      <c r="C36" s="13"/>
    </row>
    <row r="37" spans="1:25" x14ac:dyDescent="0.3">
      <c r="C37" s="12"/>
    </row>
    <row r="38" spans="1:25" x14ac:dyDescent="0.3">
      <c r="D38" s="4" t="s">
        <v>182</v>
      </c>
      <c r="E38" s="8"/>
      <c r="F38" s="8"/>
      <c r="G38" s="8"/>
      <c r="H38" s="8"/>
      <c r="I38" s="8"/>
      <c r="J38" s="8"/>
      <c r="K38" s="8"/>
      <c r="L38" s="8"/>
      <c r="M38" s="9"/>
      <c r="N38" s="89"/>
      <c r="O38" s="95"/>
      <c r="P38" s="95"/>
      <c r="Q38" s="95"/>
      <c r="R38" s="95"/>
      <c r="S38" s="95"/>
      <c r="T38" s="95"/>
      <c r="U38" s="95"/>
      <c r="V38" s="95"/>
      <c r="W38" s="95"/>
      <c r="X38" s="89"/>
    </row>
    <row r="39" spans="1:25" x14ac:dyDescent="0.3">
      <c r="C39" s="10" t="s">
        <v>9</v>
      </c>
      <c r="D39" s="14" t="s">
        <v>184</v>
      </c>
      <c r="E39" s="8"/>
      <c r="F39" s="8"/>
      <c r="G39" s="8"/>
      <c r="H39" s="8"/>
      <c r="I39" s="8"/>
      <c r="J39" s="8"/>
      <c r="K39" s="8"/>
      <c r="L39" s="8"/>
      <c r="M39" s="9"/>
      <c r="N39" s="89"/>
      <c r="O39" s="95"/>
      <c r="P39" s="95"/>
      <c r="Q39" s="95"/>
      <c r="R39" s="95"/>
      <c r="S39" s="95"/>
      <c r="T39" s="95"/>
      <c r="U39" s="95"/>
      <c r="V39" s="95"/>
      <c r="W39" s="95"/>
      <c r="X39" s="89"/>
    </row>
    <row r="40" spans="1:25" x14ac:dyDescent="0.3">
      <c r="C40" s="10" t="s">
        <v>16</v>
      </c>
      <c r="D40" s="14" t="s">
        <v>185</v>
      </c>
      <c r="E40" s="9"/>
      <c r="F40" s="9"/>
      <c r="G40" s="9"/>
      <c r="H40" s="9"/>
      <c r="I40" s="9"/>
      <c r="J40" s="9"/>
      <c r="K40" s="9"/>
      <c r="L40" s="9"/>
      <c r="M40" s="9"/>
      <c r="N40" s="9"/>
      <c r="O40" s="8"/>
      <c r="P40" s="8"/>
      <c r="Q40" s="8"/>
      <c r="R40" s="8"/>
      <c r="S40" s="8"/>
      <c r="T40" s="8"/>
      <c r="U40" s="8"/>
      <c r="V40" s="8"/>
      <c r="W40" s="8"/>
      <c r="X40" s="9"/>
    </row>
    <row r="41" spans="1:25" x14ac:dyDescent="0.3">
      <c r="C41" s="10" t="s">
        <v>18</v>
      </c>
      <c r="D41" s="14" t="s">
        <v>186</v>
      </c>
      <c r="E41" s="9"/>
      <c r="F41" s="9"/>
      <c r="G41" s="9"/>
      <c r="H41" s="9"/>
      <c r="I41" s="9"/>
      <c r="J41" s="9"/>
      <c r="K41" s="9"/>
      <c r="L41" s="9"/>
      <c r="M41" s="9"/>
      <c r="N41" s="9"/>
      <c r="O41" s="8"/>
      <c r="P41" s="8"/>
      <c r="Q41" s="8"/>
      <c r="R41" s="8"/>
      <c r="S41" s="8"/>
      <c r="T41" s="8"/>
      <c r="U41" s="8"/>
      <c r="V41" s="8"/>
      <c r="W41" s="8"/>
      <c r="X41" s="9"/>
    </row>
    <row r="42" spans="1:25" x14ac:dyDescent="0.3">
      <c r="C42" s="10" t="s">
        <v>25</v>
      </c>
      <c r="D42" s="5" t="s">
        <v>187</v>
      </c>
      <c r="N42" s="9"/>
      <c r="O42" s="8"/>
      <c r="P42" s="8"/>
      <c r="Q42" s="8"/>
      <c r="R42" s="8"/>
      <c r="S42" s="8"/>
      <c r="T42" s="8"/>
      <c r="U42" s="8"/>
      <c r="V42" s="8"/>
      <c r="W42" s="8"/>
      <c r="X42" s="9"/>
    </row>
    <row r="43" spans="1:25" ht="18" customHeight="1" x14ac:dyDescent="0.3">
      <c r="C43" s="10" t="s">
        <v>64</v>
      </c>
      <c r="D43" s="14" t="s">
        <v>188</v>
      </c>
      <c r="N43" s="9"/>
      <c r="O43" s="8"/>
      <c r="P43" s="8"/>
      <c r="Q43" s="8"/>
      <c r="R43" s="8"/>
      <c r="S43" s="8"/>
      <c r="T43" s="8"/>
      <c r="U43" s="8"/>
      <c r="V43" s="8"/>
      <c r="W43" s="8"/>
      <c r="X43" s="9"/>
    </row>
    <row r="44" spans="1:25" x14ac:dyDescent="0.3">
      <c r="C44" s="10" t="s">
        <v>65</v>
      </c>
      <c r="D44" s="1" t="s">
        <v>189</v>
      </c>
      <c r="N44" s="9"/>
      <c r="O44" s="8"/>
      <c r="P44" s="8"/>
      <c r="Q44" s="8"/>
      <c r="R44" s="8"/>
      <c r="S44" s="8"/>
      <c r="T44" s="8"/>
      <c r="U44" s="8"/>
      <c r="V44" s="8"/>
      <c r="W44" s="8"/>
      <c r="X44" s="9"/>
    </row>
    <row r="45" spans="1:25" ht="15" customHeight="1" x14ac:dyDescent="0.3">
      <c r="C45" s="10" t="s">
        <v>30</v>
      </c>
      <c r="D45" s="14" t="s">
        <v>190</v>
      </c>
      <c r="E45" s="14"/>
      <c r="F45" s="14"/>
      <c r="G45" s="14"/>
      <c r="H45" s="14"/>
      <c r="I45" s="14"/>
      <c r="J45" s="14"/>
      <c r="K45" s="14"/>
      <c r="L45" s="14"/>
      <c r="M45" s="14"/>
      <c r="N45" s="14"/>
      <c r="O45" s="95"/>
      <c r="P45" s="95"/>
      <c r="Q45" s="95"/>
      <c r="R45" s="95"/>
      <c r="S45" s="95"/>
      <c r="T45" s="95"/>
      <c r="U45" s="95"/>
      <c r="V45" s="95"/>
      <c r="W45" s="95"/>
      <c r="X45" s="89"/>
    </row>
    <row r="46" spans="1:25" ht="14.45" customHeight="1" x14ac:dyDescent="0.3">
      <c r="C46" s="10" t="s">
        <v>32</v>
      </c>
      <c r="D46" s="14" t="s">
        <v>191</v>
      </c>
      <c r="E46" s="14"/>
      <c r="F46" s="14"/>
      <c r="G46" s="14"/>
      <c r="H46" s="14"/>
      <c r="I46" s="14"/>
      <c r="J46" s="14"/>
      <c r="K46" s="14"/>
      <c r="L46" s="14"/>
      <c r="M46" s="14"/>
      <c r="N46" s="14"/>
      <c r="O46" s="95"/>
      <c r="P46" s="95"/>
      <c r="Q46" s="95"/>
      <c r="R46" s="95"/>
      <c r="S46" s="95"/>
      <c r="T46" s="95"/>
      <c r="U46" s="95"/>
      <c r="V46" s="95"/>
      <c r="W46" s="95"/>
      <c r="X46" s="89"/>
    </row>
    <row r="47" spans="1:25" ht="14.45" customHeight="1" x14ac:dyDescent="0.3">
      <c r="C47" s="10" t="s">
        <v>33</v>
      </c>
      <c r="D47" s="14" t="s">
        <v>192</v>
      </c>
      <c r="E47" s="14"/>
      <c r="F47" s="14"/>
      <c r="G47" s="14"/>
      <c r="H47" s="14"/>
      <c r="I47" s="14"/>
      <c r="J47" s="14"/>
      <c r="K47" s="14"/>
      <c r="L47" s="14"/>
      <c r="M47" s="14"/>
      <c r="N47" s="14"/>
      <c r="O47" s="8"/>
      <c r="P47" s="8"/>
      <c r="Q47" s="8"/>
      <c r="R47" s="8"/>
      <c r="S47" s="8"/>
      <c r="T47" s="8"/>
      <c r="U47" s="8"/>
      <c r="V47" s="8"/>
      <c r="W47" s="8"/>
      <c r="X47" s="9"/>
    </row>
    <row r="48" spans="1:25" x14ac:dyDescent="0.3">
      <c r="C48" s="10"/>
      <c r="D48" s="1"/>
      <c r="N48" s="9"/>
      <c r="O48" s="8"/>
      <c r="P48" s="8"/>
      <c r="Q48" s="8"/>
      <c r="R48" s="8"/>
      <c r="S48" s="8"/>
      <c r="T48" s="8"/>
      <c r="U48" s="8"/>
      <c r="V48" s="8"/>
      <c r="W48" s="8"/>
      <c r="X48" s="9"/>
    </row>
    <row r="49" spans="3:24" x14ac:dyDescent="0.3">
      <c r="D49" s="4" t="s">
        <v>183</v>
      </c>
      <c r="E49" s="9"/>
      <c r="F49" s="9"/>
      <c r="G49" s="9"/>
      <c r="H49" s="9"/>
      <c r="I49" s="9"/>
      <c r="J49" s="9"/>
      <c r="K49" s="9"/>
      <c r="L49" s="9"/>
      <c r="M49" s="9"/>
      <c r="N49" s="9"/>
      <c r="O49" s="8"/>
      <c r="P49" s="8"/>
      <c r="Q49" s="8"/>
      <c r="R49" s="8"/>
      <c r="S49" s="8"/>
      <c r="T49" s="8"/>
      <c r="U49" s="8"/>
      <c r="V49" s="8"/>
      <c r="W49" s="8"/>
      <c r="X49" s="9"/>
    </row>
    <row r="50" spans="3:24" x14ac:dyDescent="0.3">
      <c r="C50" s="15" t="s">
        <v>6</v>
      </c>
      <c r="D50" s="1" t="s">
        <v>41</v>
      </c>
      <c r="E50" s="9"/>
      <c r="F50" s="9"/>
      <c r="G50" s="9"/>
      <c r="H50" s="9"/>
      <c r="I50" s="9"/>
      <c r="J50" s="9"/>
      <c r="K50" s="9"/>
      <c r="L50" s="9"/>
      <c r="M50" s="9"/>
      <c r="N50" s="9"/>
      <c r="O50" s="8"/>
      <c r="P50" s="8"/>
      <c r="Q50" s="8"/>
      <c r="R50" s="8"/>
      <c r="S50" s="8"/>
      <c r="T50" s="8"/>
      <c r="U50" s="8"/>
      <c r="V50" s="8"/>
      <c r="W50" s="8"/>
      <c r="X50" s="9"/>
    </row>
    <row r="51" spans="3:24" x14ac:dyDescent="0.3">
      <c r="C51" s="15" t="s">
        <v>12</v>
      </c>
      <c r="D51" s="7" t="s">
        <v>42</v>
      </c>
      <c r="E51" s="9"/>
      <c r="F51" s="9"/>
      <c r="G51" s="9"/>
      <c r="H51" s="9"/>
      <c r="I51" s="9"/>
      <c r="J51" s="9"/>
      <c r="K51" s="9"/>
      <c r="L51" s="9"/>
      <c r="M51" s="9"/>
      <c r="N51" s="9"/>
      <c r="O51" s="8"/>
      <c r="P51" s="8"/>
      <c r="Q51" s="8"/>
      <c r="R51" s="8"/>
      <c r="S51" s="8"/>
      <c r="T51" s="8"/>
      <c r="U51" s="8"/>
      <c r="V51" s="8"/>
      <c r="W51" s="8"/>
      <c r="X51" s="9"/>
    </row>
    <row r="52" spans="3:24" x14ac:dyDescent="0.3">
      <c r="C52" s="15" t="s">
        <v>43</v>
      </c>
      <c r="D52" s="7" t="s">
        <v>44</v>
      </c>
      <c r="E52" s="9"/>
      <c r="F52" s="9"/>
      <c r="G52" s="9"/>
      <c r="H52" s="9"/>
      <c r="I52" s="9"/>
      <c r="J52" s="9"/>
      <c r="K52" s="9"/>
      <c r="L52" s="9"/>
      <c r="M52" s="9"/>
      <c r="N52" s="9"/>
      <c r="O52" s="8"/>
      <c r="P52" s="8"/>
      <c r="Q52" s="8"/>
      <c r="R52" s="8"/>
      <c r="S52" s="8"/>
      <c r="T52" s="8"/>
      <c r="U52" s="8"/>
      <c r="V52" s="8"/>
      <c r="W52" s="8"/>
      <c r="X52" s="9"/>
    </row>
    <row r="53" spans="3:24" x14ac:dyDescent="0.3">
      <c r="C53" s="15" t="s">
        <v>45</v>
      </c>
      <c r="D53" s="5" t="s">
        <v>46</v>
      </c>
      <c r="E53" s="9"/>
      <c r="F53" s="9"/>
      <c r="G53" s="9"/>
      <c r="H53" s="9"/>
      <c r="I53" s="9"/>
      <c r="J53" s="9"/>
      <c r="K53" s="9"/>
      <c r="L53" s="9"/>
      <c r="M53" s="9"/>
      <c r="N53" s="9"/>
      <c r="O53" s="8"/>
      <c r="P53" s="8"/>
      <c r="Q53" s="8"/>
      <c r="R53" s="8"/>
      <c r="S53" s="8"/>
      <c r="T53" s="8"/>
      <c r="U53" s="8"/>
      <c r="V53" s="8"/>
      <c r="W53" s="8"/>
      <c r="X53" s="9"/>
    </row>
    <row r="54" spans="3:24" x14ac:dyDescent="0.3">
      <c r="C54" s="15" t="s">
        <v>47</v>
      </c>
      <c r="D54" s="5" t="s">
        <v>96</v>
      </c>
      <c r="E54" s="9"/>
      <c r="F54" s="9"/>
      <c r="G54" s="9"/>
      <c r="H54" s="9"/>
      <c r="I54" s="9"/>
      <c r="J54" s="9"/>
      <c r="K54" s="9"/>
      <c r="L54" s="9"/>
      <c r="M54" s="9"/>
      <c r="N54" s="9"/>
      <c r="O54" s="8"/>
      <c r="P54" s="8"/>
      <c r="Q54" s="8"/>
      <c r="R54" s="8"/>
      <c r="S54" s="8"/>
      <c r="T54" s="8"/>
      <c r="U54" s="8"/>
      <c r="V54" s="8"/>
      <c r="W54" s="8"/>
      <c r="X54" s="9"/>
    </row>
    <row r="55" spans="3:24" x14ac:dyDescent="0.3">
      <c r="C55" s="15" t="s">
        <v>55</v>
      </c>
      <c r="D55" s="5" t="s">
        <v>62</v>
      </c>
      <c r="E55" s="9"/>
      <c r="F55" s="9"/>
      <c r="G55" s="9"/>
      <c r="H55" s="9"/>
      <c r="I55" s="9"/>
      <c r="J55" s="9"/>
      <c r="K55" s="9"/>
      <c r="L55" s="9"/>
      <c r="M55" s="9"/>
      <c r="N55" s="9"/>
      <c r="O55" s="8"/>
      <c r="P55" s="8"/>
      <c r="Q55" s="8"/>
      <c r="R55" s="8"/>
      <c r="S55" s="8"/>
      <c r="T55" s="8"/>
      <c r="U55" s="8"/>
      <c r="V55" s="8"/>
      <c r="W55" s="8"/>
      <c r="X55" s="9"/>
    </row>
    <row r="56" spans="3:24" x14ac:dyDescent="0.3">
      <c r="C56" s="15" t="s">
        <v>56</v>
      </c>
      <c r="D56" s="14" t="s">
        <v>97</v>
      </c>
      <c r="E56" s="9"/>
      <c r="F56" s="9"/>
      <c r="G56" s="9"/>
      <c r="H56" s="9"/>
      <c r="I56" s="9"/>
      <c r="J56" s="9"/>
      <c r="K56" s="9"/>
      <c r="L56" s="9"/>
      <c r="M56" s="9"/>
      <c r="N56" s="9"/>
      <c r="O56" s="8"/>
      <c r="P56" s="8"/>
      <c r="Q56" s="8"/>
      <c r="R56" s="8"/>
      <c r="S56" s="8"/>
      <c r="T56" s="8"/>
      <c r="U56" s="8"/>
      <c r="V56" s="8"/>
      <c r="W56" s="8"/>
      <c r="X56" s="9"/>
    </row>
    <row r="57" spans="3:24" x14ac:dyDescent="0.3">
      <c r="C57" s="16"/>
      <c r="D57" s="16"/>
      <c r="E57" s="16"/>
      <c r="F57" s="16"/>
      <c r="G57" s="16"/>
      <c r="H57" s="16"/>
      <c r="I57" s="16"/>
      <c r="J57" s="16"/>
      <c r="K57" s="16"/>
      <c r="L57" s="16"/>
      <c r="M57" s="16"/>
      <c r="N57" s="16"/>
      <c r="O57" s="16"/>
      <c r="P57" s="16"/>
      <c r="Q57" s="16"/>
      <c r="R57" s="16"/>
      <c r="S57" s="16"/>
      <c r="T57" s="16"/>
      <c r="U57" s="16"/>
      <c r="V57" s="16"/>
      <c r="W57" s="16"/>
      <c r="X57" s="16"/>
    </row>
    <row r="59" spans="3:24" x14ac:dyDescent="0.3">
      <c r="C59" s="12"/>
    </row>
    <row r="60" spans="3:24" x14ac:dyDescent="0.3">
      <c r="C60" s="12"/>
    </row>
    <row r="61" spans="3:24" x14ac:dyDescent="0.3">
      <c r="C61" s="17"/>
    </row>
    <row r="63" spans="3:24" x14ac:dyDescent="0.3">
      <c r="C63" s="18"/>
    </row>
    <row r="64" spans="3:24" x14ac:dyDescent="0.3">
      <c r="C64" s="18"/>
    </row>
    <row r="65" spans="3:3" x14ac:dyDescent="0.3">
      <c r="C65" s="18"/>
    </row>
    <row r="66" spans="3:3" x14ac:dyDescent="0.3">
      <c r="C66" s="18"/>
    </row>
    <row r="67" spans="3:3" x14ac:dyDescent="0.3">
      <c r="C67" s="18"/>
    </row>
    <row r="68" spans="3:3" x14ac:dyDescent="0.3">
      <c r="C68" s="18"/>
    </row>
    <row r="69" spans="3:3" x14ac:dyDescent="0.3">
      <c r="C69" s="18"/>
    </row>
    <row r="70" spans="3:3" x14ac:dyDescent="0.3">
      <c r="C70" s="18"/>
    </row>
    <row r="71" spans="3:3" x14ac:dyDescent="0.3">
      <c r="C71" s="18"/>
    </row>
    <row r="72" spans="3:3" x14ac:dyDescent="0.3">
      <c r="C72" s="18"/>
    </row>
    <row r="73" spans="3:3" x14ac:dyDescent="0.3">
      <c r="C73" s="18"/>
    </row>
    <row r="74" spans="3:3" x14ac:dyDescent="0.3">
      <c r="C74" s="18"/>
    </row>
    <row r="75" spans="3:3" x14ac:dyDescent="0.3">
      <c r="C75" s="18"/>
    </row>
    <row r="76" spans="3:3" x14ac:dyDescent="0.3">
      <c r="C76" s="18"/>
    </row>
    <row r="77" spans="3:3" x14ac:dyDescent="0.3">
      <c r="C77" s="18"/>
    </row>
    <row r="78" spans="3:3" x14ac:dyDescent="0.3">
      <c r="C78" s="18"/>
    </row>
    <row r="79" spans="3:3" x14ac:dyDescent="0.3">
      <c r="C79" s="18"/>
    </row>
    <row r="80" spans="3:3" x14ac:dyDescent="0.3">
      <c r="C80" s="18"/>
    </row>
    <row r="81" spans="3:3" x14ac:dyDescent="0.3">
      <c r="C81" s="18"/>
    </row>
    <row r="82" spans="3:3" x14ac:dyDescent="0.3">
      <c r="C82" s="18"/>
    </row>
    <row r="83" spans="3:3" x14ac:dyDescent="0.3">
      <c r="C83" s="18"/>
    </row>
    <row r="84" spans="3:3" x14ac:dyDescent="0.3">
      <c r="C84" s="18"/>
    </row>
    <row r="85" spans="3:3" x14ac:dyDescent="0.3">
      <c r="C85" s="18"/>
    </row>
    <row r="86" spans="3:3" x14ac:dyDescent="0.3">
      <c r="C86" s="18"/>
    </row>
    <row r="87" spans="3:3" x14ac:dyDescent="0.3">
      <c r="C87" s="18"/>
    </row>
    <row r="88" spans="3:3" x14ac:dyDescent="0.3">
      <c r="C88" s="18"/>
    </row>
    <row r="89" spans="3:3" x14ac:dyDescent="0.3">
      <c r="C89" s="18"/>
    </row>
    <row r="90" spans="3:3" x14ac:dyDescent="0.3">
      <c r="C90" s="18"/>
    </row>
    <row r="91" spans="3:3" x14ac:dyDescent="0.3">
      <c r="C91" s="18"/>
    </row>
    <row r="92" spans="3:3" x14ac:dyDescent="0.3">
      <c r="C92" s="18"/>
    </row>
    <row r="93" spans="3:3" x14ac:dyDescent="0.3">
      <c r="C93" s="19"/>
    </row>
    <row r="94" spans="3:3" x14ac:dyDescent="0.3">
      <c r="C94" s="18"/>
    </row>
  </sheetData>
  <mergeCells count="88">
    <mergeCell ref="D5:F5"/>
    <mergeCell ref="D6:F6"/>
    <mergeCell ref="T45:T46"/>
    <mergeCell ref="U45:U46"/>
    <mergeCell ref="V45:V46"/>
    <mergeCell ref="S38:S39"/>
    <mergeCell ref="T38:T39"/>
    <mergeCell ref="U38:U39"/>
    <mergeCell ref="V38:V39"/>
    <mergeCell ref="M31:N31"/>
    <mergeCell ref="O31:P31"/>
    <mergeCell ref="M32:N32"/>
    <mergeCell ref="O32:P32"/>
    <mergeCell ref="M33:N33"/>
    <mergeCell ref="O33:P33"/>
    <mergeCell ref="M29:O29"/>
    <mergeCell ref="W45:W46"/>
    <mergeCell ref="X45:X46"/>
    <mergeCell ref="O45:O46"/>
    <mergeCell ref="P45:P46"/>
    <mergeCell ref="Q45:Q46"/>
    <mergeCell ref="R45:R46"/>
    <mergeCell ref="S45:S46"/>
    <mergeCell ref="W38:W39"/>
    <mergeCell ref="X38:X39"/>
    <mergeCell ref="O34:P34"/>
    <mergeCell ref="N38:N39"/>
    <mergeCell ref="O38:O39"/>
    <mergeCell ref="P38:P39"/>
    <mergeCell ref="Q38:Q39"/>
    <mergeCell ref="R38:R39"/>
    <mergeCell ref="P29:Y29"/>
    <mergeCell ref="M30:N30"/>
    <mergeCell ref="O30:Y30"/>
    <mergeCell ref="M18:N18"/>
    <mergeCell ref="O18:P18"/>
    <mergeCell ref="M26:N26"/>
    <mergeCell ref="O26:Y26"/>
    <mergeCell ref="M27:N27"/>
    <mergeCell ref="O27:Y27"/>
    <mergeCell ref="M28:N28"/>
    <mergeCell ref="O28:Y28"/>
    <mergeCell ref="M25:N25"/>
    <mergeCell ref="O25:Y25"/>
    <mergeCell ref="M22:O22"/>
    <mergeCell ref="P22:Y22"/>
    <mergeCell ref="M23:N23"/>
    <mergeCell ref="O23:Y23"/>
    <mergeCell ref="O24:Y24"/>
    <mergeCell ref="M14:N14"/>
    <mergeCell ref="O14:Y14"/>
    <mergeCell ref="M15:N15"/>
    <mergeCell ref="O15:Y15"/>
    <mergeCell ref="M16:N16"/>
    <mergeCell ref="O16:Y16"/>
    <mergeCell ref="M17:N17"/>
    <mergeCell ref="O17:Y17"/>
    <mergeCell ref="M19:O19"/>
    <mergeCell ref="P19:Y19"/>
    <mergeCell ref="M20:M21"/>
    <mergeCell ref="N20:Y20"/>
    <mergeCell ref="N21:Y21"/>
    <mergeCell ref="M11:N11"/>
    <mergeCell ref="O11:Y11"/>
    <mergeCell ref="M12:N12"/>
    <mergeCell ref="O12:Y12"/>
    <mergeCell ref="M13:N13"/>
    <mergeCell ref="O13:Y13"/>
    <mergeCell ref="M10:N10"/>
    <mergeCell ref="O10:Y10"/>
    <mergeCell ref="M4:N4"/>
    <mergeCell ref="O4:Y4"/>
    <mergeCell ref="M5:N5"/>
    <mergeCell ref="O5:Y5"/>
    <mergeCell ref="M6:N6"/>
    <mergeCell ref="O6:Y6"/>
    <mergeCell ref="O7:Y7"/>
    <mergeCell ref="M8:N8"/>
    <mergeCell ref="O8:Y8"/>
    <mergeCell ref="M9:N9"/>
    <mergeCell ref="O9:Y9"/>
    <mergeCell ref="D2:L2"/>
    <mergeCell ref="M2:N2"/>
    <mergeCell ref="O2:Y2"/>
    <mergeCell ref="G3:H3"/>
    <mergeCell ref="I3:J3"/>
    <mergeCell ref="M3:N3"/>
    <mergeCell ref="O3:Y3"/>
  </mergeCells>
  <conditionalFormatting sqref="D54">
    <cfRule type="duplicateValues" dxfId="3" priority="4"/>
  </conditionalFormatting>
  <conditionalFormatting sqref="D55">
    <cfRule type="duplicateValues" dxfId="2" priority="1"/>
  </conditionalFormatting>
  <hyperlinks>
    <hyperlink ref="D53" r:id="rId1" display="https://www.irena.org/-/media/Files/IRENA/Agency/Events/2017/Mar/15/2017_Kairies_Battery_Cost_and_Performance_01.pdf"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6"/>
  <sheetViews>
    <sheetView topLeftCell="A19" zoomScale="71" zoomScaleNormal="71" workbookViewId="0">
      <selection activeCell="R2" sqref="R2"/>
    </sheetView>
  </sheetViews>
  <sheetFormatPr baseColWidth="10" defaultColWidth="11.42578125" defaultRowHeight="18" x14ac:dyDescent="0.35"/>
  <cols>
    <col min="1" max="1" width="84.7109375" style="20" customWidth="1"/>
    <col min="2" max="2" width="73.140625" style="20" hidden="1" customWidth="1"/>
    <col min="3" max="3" width="4.5703125" style="19" customWidth="1"/>
    <col min="4" max="4" width="8" style="20" customWidth="1"/>
    <col min="5" max="6" width="9.85546875" style="20" customWidth="1"/>
    <col min="7" max="7" width="10.140625" style="20" customWidth="1"/>
    <col min="8" max="8" width="9.85546875" style="20" customWidth="1"/>
    <col min="9" max="9" width="17.7109375" style="20" customWidth="1"/>
    <col min="10" max="10" width="9.85546875" style="20" customWidth="1"/>
    <col min="11" max="11" width="18" style="20" customWidth="1"/>
    <col min="12" max="12" width="17.140625" style="20" customWidth="1"/>
    <col min="13" max="13" width="69" style="42" customWidth="1"/>
    <col min="14" max="16" width="9.28515625" style="5" customWidth="1"/>
    <col min="17" max="17" width="58.42578125" style="5" customWidth="1"/>
    <col min="18" max="18" width="9.85546875" style="20" customWidth="1"/>
    <col min="19" max="16384" width="11.42578125" style="20"/>
  </cols>
  <sheetData>
    <row r="1" spans="1:18" ht="56.25" customHeight="1" x14ac:dyDescent="0.35">
      <c r="I1" s="76" t="s">
        <v>207</v>
      </c>
      <c r="J1" s="5"/>
      <c r="K1" s="76" t="s">
        <v>208</v>
      </c>
      <c r="M1" s="108" t="s">
        <v>209</v>
      </c>
      <c r="N1" s="88" t="s">
        <v>210</v>
      </c>
      <c r="O1" s="88"/>
      <c r="P1" s="88"/>
      <c r="Q1" s="88" t="s">
        <v>211</v>
      </c>
      <c r="R1" s="22"/>
    </row>
    <row r="2" spans="1:18" ht="18.75" x14ac:dyDescent="0.35">
      <c r="A2" s="107" t="s">
        <v>193</v>
      </c>
      <c r="B2" s="23" t="s">
        <v>48</v>
      </c>
      <c r="D2" s="21" t="s">
        <v>67</v>
      </c>
      <c r="E2" s="21">
        <v>2016</v>
      </c>
      <c r="F2" s="21">
        <v>2020</v>
      </c>
      <c r="G2" s="21">
        <v>2025</v>
      </c>
      <c r="H2" s="21">
        <v>2030</v>
      </c>
      <c r="I2" s="24" t="s">
        <v>49</v>
      </c>
      <c r="J2" s="21">
        <v>2050</v>
      </c>
      <c r="K2" s="24" t="s">
        <v>50</v>
      </c>
      <c r="L2" s="21" t="s">
        <v>183</v>
      </c>
      <c r="M2" s="108"/>
      <c r="N2" s="112">
        <v>2020</v>
      </c>
      <c r="O2" s="112">
        <v>2030</v>
      </c>
      <c r="P2" s="26">
        <v>2050</v>
      </c>
      <c r="Q2" s="88"/>
      <c r="R2" s="113" t="s">
        <v>212</v>
      </c>
    </row>
    <row r="3" spans="1:18" ht="30" customHeight="1" x14ac:dyDescent="0.35">
      <c r="A3" s="106" t="s">
        <v>145</v>
      </c>
      <c r="B3" s="23" t="s">
        <v>101</v>
      </c>
      <c r="D3" s="25" t="s">
        <v>68</v>
      </c>
      <c r="E3" s="8">
        <v>30</v>
      </c>
      <c r="F3" s="8">
        <f>E3</f>
        <v>30</v>
      </c>
      <c r="G3" s="8"/>
      <c r="H3" s="8">
        <f>F3</f>
        <v>30</v>
      </c>
      <c r="I3" s="27"/>
      <c r="J3" s="8">
        <f>H3</f>
        <v>30</v>
      </c>
      <c r="K3" s="27"/>
      <c r="L3" s="95" t="s">
        <v>6</v>
      </c>
      <c r="M3" s="109" t="s">
        <v>235</v>
      </c>
      <c r="N3" s="28"/>
      <c r="O3" s="29"/>
      <c r="P3" s="29"/>
      <c r="Q3" s="102" t="s">
        <v>213</v>
      </c>
    </row>
    <row r="4" spans="1:18" ht="30" customHeight="1" x14ac:dyDescent="0.35">
      <c r="A4" s="106" t="s">
        <v>146</v>
      </c>
      <c r="B4" s="23" t="s">
        <v>102</v>
      </c>
      <c r="D4" s="25" t="s">
        <v>69</v>
      </c>
      <c r="E4" s="8">
        <v>15</v>
      </c>
      <c r="F4" s="8">
        <f t="shared" ref="F4:F5" si="0">E4</f>
        <v>15</v>
      </c>
      <c r="G4" s="8"/>
      <c r="H4" s="8">
        <f t="shared" ref="H4:H5" si="1">F4</f>
        <v>15</v>
      </c>
      <c r="I4" s="27"/>
      <c r="J4" s="8">
        <f t="shared" ref="J4:J5" si="2">H4</f>
        <v>15</v>
      </c>
      <c r="K4" s="27"/>
      <c r="L4" s="95"/>
      <c r="M4" s="109"/>
      <c r="N4" s="28"/>
      <c r="O4" s="29"/>
      <c r="P4" s="29"/>
      <c r="Q4" s="102"/>
      <c r="R4" s="30">
        <f>F4/F3</f>
        <v>0.5</v>
      </c>
    </row>
    <row r="5" spans="1:18" ht="30" customHeight="1" x14ac:dyDescent="0.35">
      <c r="A5" s="106" t="s">
        <v>147</v>
      </c>
      <c r="B5" s="23" t="s">
        <v>103</v>
      </c>
      <c r="D5" s="25" t="s">
        <v>70</v>
      </c>
      <c r="E5" s="8">
        <v>15</v>
      </c>
      <c r="F5" s="8">
        <f t="shared" si="0"/>
        <v>15</v>
      </c>
      <c r="G5" s="8"/>
      <c r="H5" s="8">
        <f t="shared" si="1"/>
        <v>15</v>
      </c>
      <c r="I5" s="27"/>
      <c r="J5" s="8">
        <f t="shared" si="2"/>
        <v>15</v>
      </c>
      <c r="K5" s="27"/>
      <c r="L5" s="95"/>
      <c r="M5" s="109"/>
      <c r="N5" s="28"/>
      <c r="O5" s="29"/>
      <c r="P5" s="29"/>
      <c r="Q5" s="102"/>
      <c r="R5" s="30">
        <f>F5/F3</f>
        <v>0.5</v>
      </c>
    </row>
    <row r="6" spans="1:18" ht="70.5" customHeight="1" x14ac:dyDescent="0.35">
      <c r="A6" s="106" t="s">
        <v>148</v>
      </c>
      <c r="B6" s="23" t="s">
        <v>104</v>
      </c>
      <c r="D6" s="25" t="s">
        <v>71</v>
      </c>
      <c r="E6" s="8"/>
      <c r="F6" s="8">
        <v>83</v>
      </c>
      <c r="G6" s="8"/>
      <c r="H6" s="8">
        <v>85</v>
      </c>
      <c r="I6" s="31">
        <f>(H6-F6)/F6</f>
        <v>2.4096385542168676E-2</v>
      </c>
      <c r="J6" s="32">
        <v>85</v>
      </c>
      <c r="K6" s="27">
        <f>(J6-H6)/H6</f>
        <v>0</v>
      </c>
      <c r="L6" s="8" t="s">
        <v>12</v>
      </c>
      <c r="M6" s="110" t="s">
        <v>236</v>
      </c>
      <c r="N6" s="32">
        <v>81.400000000000006</v>
      </c>
      <c r="O6" s="33">
        <f>N6*(1+I6)</f>
        <v>83.361445783132538</v>
      </c>
      <c r="P6" s="33">
        <f>O6*(1+K6)</f>
        <v>83.361445783132538</v>
      </c>
      <c r="Q6" s="102"/>
    </row>
    <row r="7" spans="1:18" ht="35.1" customHeight="1" x14ac:dyDescent="0.35">
      <c r="A7" s="106" t="s">
        <v>149</v>
      </c>
      <c r="B7" s="23" t="s">
        <v>105</v>
      </c>
      <c r="D7" s="25" t="s">
        <v>72</v>
      </c>
      <c r="E7" s="8"/>
      <c r="F7" s="32">
        <f>POWER(N6/100,0.5)*100</f>
        <v>90.221948549119688</v>
      </c>
      <c r="G7" s="8"/>
      <c r="H7" s="32">
        <f>POWER(O6/100,0.5)*100</f>
        <v>91.302489442036872</v>
      </c>
      <c r="I7" s="8"/>
      <c r="J7" s="32">
        <f>POWER(P6/100,0.5)*100</f>
        <v>91.302489442036872</v>
      </c>
      <c r="K7" s="8"/>
      <c r="M7" s="109" t="s">
        <v>237</v>
      </c>
      <c r="N7" s="34"/>
      <c r="O7" s="34"/>
      <c r="P7" s="34"/>
      <c r="Q7" s="34"/>
    </row>
    <row r="8" spans="1:18" ht="35.1" customHeight="1" x14ac:dyDescent="0.35">
      <c r="A8" s="106" t="s">
        <v>150</v>
      </c>
      <c r="B8" s="23" t="s">
        <v>106</v>
      </c>
      <c r="D8" s="25" t="s">
        <v>73</v>
      </c>
      <c r="E8" s="8"/>
      <c r="F8" s="32">
        <f>POWER(N6/100,0.5)*100</f>
        <v>90.221948549119688</v>
      </c>
      <c r="G8" s="8"/>
      <c r="H8" s="32">
        <f>POWER(O6/100,0.5)*100</f>
        <v>91.302489442036872</v>
      </c>
      <c r="I8" s="8"/>
      <c r="J8" s="32">
        <f>POWER(P6/100,0.5)*100</f>
        <v>91.302489442036872</v>
      </c>
      <c r="K8" s="35"/>
      <c r="L8" s="8"/>
      <c r="M8" s="109"/>
      <c r="N8" s="34"/>
      <c r="O8" s="34"/>
      <c r="P8" s="34"/>
      <c r="Q8" s="34"/>
    </row>
    <row r="9" spans="1:18" ht="90" x14ac:dyDescent="0.35">
      <c r="A9" s="106" t="s">
        <v>194</v>
      </c>
      <c r="B9" s="23" t="s">
        <v>107</v>
      </c>
      <c r="D9" s="25" t="s">
        <v>74</v>
      </c>
      <c r="E9" s="8">
        <v>0.1</v>
      </c>
      <c r="F9" s="8">
        <v>0.1</v>
      </c>
      <c r="G9" s="8">
        <v>0.1</v>
      </c>
      <c r="H9" s="8">
        <v>0.1</v>
      </c>
      <c r="I9" s="8"/>
      <c r="J9" s="28">
        <v>0.1</v>
      </c>
      <c r="K9" s="28"/>
      <c r="L9" s="8" t="s">
        <v>6</v>
      </c>
      <c r="M9" s="110" t="s">
        <v>238</v>
      </c>
      <c r="N9" s="8"/>
      <c r="O9" s="8"/>
    </row>
    <row r="10" spans="1:18" ht="15" customHeight="1" x14ac:dyDescent="0.35">
      <c r="A10" s="106" t="s">
        <v>152</v>
      </c>
      <c r="B10" s="23" t="s">
        <v>108</v>
      </c>
      <c r="D10" s="25" t="s">
        <v>75</v>
      </c>
      <c r="E10" s="8"/>
      <c r="F10" s="28">
        <v>0</v>
      </c>
      <c r="G10" s="28"/>
      <c r="H10" s="28">
        <v>0</v>
      </c>
      <c r="I10" s="28"/>
      <c r="J10" s="28">
        <v>0</v>
      </c>
      <c r="K10" s="32"/>
      <c r="L10" s="95" t="s">
        <v>12</v>
      </c>
      <c r="M10" s="109" t="s">
        <v>214</v>
      </c>
      <c r="N10" s="8"/>
      <c r="O10" s="8"/>
    </row>
    <row r="11" spans="1:18" x14ac:dyDescent="0.35">
      <c r="A11" s="106" t="s">
        <v>153</v>
      </c>
      <c r="B11" s="23" t="s">
        <v>109</v>
      </c>
      <c r="D11" s="25" t="s">
        <v>76</v>
      </c>
      <c r="E11" s="8"/>
      <c r="F11" s="28">
        <v>0</v>
      </c>
      <c r="G11" s="28"/>
      <c r="H11" s="28">
        <v>0</v>
      </c>
      <c r="I11" s="28"/>
      <c r="J11" s="28">
        <v>0</v>
      </c>
      <c r="K11" s="35"/>
      <c r="L11" s="95"/>
      <c r="M11" s="109"/>
      <c r="N11" s="8"/>
      <c r="O11" s="8"/>
    </row>
    <row r="12" spans="1:18" ht="71.25" customHeight="1" x14ac:dyDescent="0.35">
      <c r="A12" s="106" t="s">
        <v>154</v>
      </c>
      <c r="B12" s="23" t="s">
        <v>110</v>
      </c>
      <c r="D12" s="25" t="s">
        <v>77</v>
      </c>
      <c r="E12" s="8"/>
      <c r="F12" s="8">
        <v>19</v>
      </c>
      <c r="G12" s="8"/>
      <c r="H12" s="32">
        <v>24</v>
      </c>
      <c r="I12" s="31">
        <f>(H12-F12)/F12</f>
        <v>0.26315789473684209</v>
      </c>
      <c r="J12" s="32">
        <v>24</v>
      </c>
      <c r="K12" s="31">
        <f>(J12-H12)/H12</f>
        <v>0</v>
      </c>
      <c r="L12" s="95" t="s">
        <v>12</v>
      </c>
      <c r="M12" s="110" t="s">
        <v>239</v>
      </c>
      <c r="N12" s="8">
        <v>19</v>
      </c>
      <c r="O12" s="29">
        <f>N12*(1+I12)</f>
        <v>24</v>
      </c>
      <c r="P12" s="29">
        <f>O12*(1+K12)</f>
        <v>24</v>
      </c>
      <c r="Q12" s="28" t="s">
        <v>213</v>
      </c>
    </row>
    <row r="13" spans="1:18" ht="24.95" customHeight="1" x14ac:dyDescent="0.35">
      <c r="A13" s="106" t="s">
        <v>155</v>
      </c>
      <c r="B13" s="23" t="s">
        <v>111</v>
      </c>
      <c r="D13" s="25" t="s">
        <v>78</v>
      </c>
      <c r="E13" s="8"/>
      <c r="F13" s="8">
        <v>0.5</v>
      </c>
      <c r="G13" s="8"/>
      <c r="H13" s="8">
        <v>0.5</v>
      </c>
      <c r="I13" s="8"/>
      <c r="J13" s="28">
        <v>0.5</v>
      </c>
      <c r="K13" s="32"/>
      <c r="L13" s="95"/>
      <c r="M13" s="109" t="s">
        <v>214</v>
      </c>
      <c r="N13" s="8"/>
      <c r="O13" s="8"/>
    </row>
    <row r="14" spans="1:18" ht="24.95" customHeight="1" x14ac:dyDescent="0.35">
      <c r="A14" s="106" t="s">
        <v>195</v>
      </c>
      <c r="B14" s="23" t="s">
        <v>112</v>
      </c>
      <c r="D14" s="25" t="s">
        <v>79</v>
      </c>
      <c r="E14" s="8"/>
      <c r="F14" s="8">
        <v>1E-3</v>
      </c>
      <c r="G14" s="8"/>
      <c r="H14" s="8">
        <v>1E-3</v>
      </c>
      <c r="I14" s="8"/>
      <c r="J14" s="8">
        <v>1E-3</v>
      </c>
      <c r="K14" s="36"/>
      <c r="L14" s="95"/>
      <c r="M14" s="109"/>
      <c r="N14" s="8"/>
      <c r="O14" s="8"/>
    </row>
    <row r="15" spans="1:18" ht="24.95" customHeight="1" x14ac:dyDescent="0.35">
      <c r="A15" s="106" t="s">
        <v>172</v>
      </c>
      <c r="B15" s="23" t="s">
        <v>113</v>
      </c>
      <c r="D15" s="25" t="s">
        <v>80</v>
      </c>
      <c r="E15" s="8"/>
      <c r="F15" s="8">
        <v>0.05</v>
      </c>
      <c r="G15" s="8"/>
      <c r="H15" s="8">
        <v>0.05</v>
      </c>
      <c r="I15" s="8"/>
      <c r="J15" s="8">
        <v>0.05</v>
      </c>
      <c r="K15" s="36"/>
      <c r="L15" s="95"/>
      <c r="M15" s="109"/>
      <c r="N15" s="8"/>
      <c r="O15" s="8"/>
    </row>
    <row r="16" spans="1:18" ht="64.5" customHeight="1" x14ac:dyDescent="0.35">
      <c r="A16" s="106" t="s">
        <v>201</v>
      </c>
      <c r="B16" s="23" t="s">
        <v>114</v>
      </c>
      <c r="D16" s="25" t="s">
        <v>81</v>
      </c>
      <c r="E16" s="8"/>
      <c r="F16" s="36">
        <f>((F17+F19)*F3+F18*F4)/F3</f>
        <v>0.38330000000000003</v>
      </c>
      <c r="G16" s="8"/>
      <c r="H16" s="36">
        <f>((H17+H19)*H3+H18*H4)/H3</f>
        <v>0.21725</v>
      </c>
      <c r="I16" s="31"/>
      <c r="J16" s="36">
        <f>((J17+J19)*J3+J18*J4)/J3</f>
        <v>8.9125528619242958E-2</v>
      </c>
      <c r="K16" s="31"/>
      <c r="L16" s="16"/>
      <c r="M16" s="110" t="s">
        <v>240</v>
      </c>
      <c r="N16" s="8"/>
      <c r="O16" s="29"/>
      <c r="P16" s="29"/>
      <c r="Q16" s="29"/>
    </row>
    <row r="17" spans="1:18" ht="33" customHeight="1" x14ac:dyDescent="0.35">
      <c r="A17" s="106" t="s">
        <v>202</v>
      </c>
      <c r="B17" s="23" t="s">
        <v>115</v>
      </c>
      <c r="D17" s="25" t="s">
        <v>82</v>
      </c>
      <c r="E17" s="8">
        <v>0.36749999999999999</v>
      </c>
      <c r="F17" s="8">
        <v>0.2908</v>
      </c>
      <c r="G17" s="8">
        <v>0.217</v>
      </c>
      <c r="H17" s="8">
        <v>0.16200000000000001</v>
      </c>
      <c r="I17" s="31"/>
      <c r="J17" s="36">
        <f>6.2425550675907E+50*EXP(-0.058513*J2)</f>
        <v>5.0236883762580883E-2</v>
      </c>
      <c r="K17" s="31"/>
      <c r="L17" s="95" t="s">
        <v>6</v>
      </c>
      <c r="M17" s="109" t="s">
        <v>241</v>
      </c>
      <c r="N17" s="8"/>
      <c r="O17" s="37"/>
      <c r="P17" s="37"/>
      <c r="Q17" s="37"/>
    </row>
    <row r="18" spans="1:18" ht="41.25" customHeight="1" x14ac:dyDescent="0.35">
      <c r="A18" s="106" t="s">
        <v>203</v>
      </c>
      <c r="B18" s="23" t="s">
        <v>116</v>
      </c>
      <c r="D18" s="25" t="s">
        <v>83</v>
      </c>
      <c r="E18" s="8">
        <v>0.105</v>
      </c>
      <c r="F18" s="36">
        <f>NaS!D25</f>
        <v>8.5000000000000006E-2</v>
      </c>
      <c r="G18" s="8">
        <v>6.5600000000000006E-2</v>
      </c>
      <c r="H18" s="36">
        <f>NaS!E25</f>
        <v>5.0500000000000003E-2</v>
      </c>
      <c r="I18" s="31"/>
      <c r="J18" s="36">
        <f>5.5944353330417E+44*EXP(-0.052227*J2)</f>
        <v>1.7777289713324144E-2</v>
      </c>
      <c r="K18" s="31"/>
      <c r="L18" s="95"/>
      <c r="M18" s="109"/>
      <c r="N18" s="8"/>
      <c r="O18" s="37"/>
      <c r="P18" s="37"/>
      <c r="Q18" s="37"/>
    </row>
    <row r="19" spans="1:18" ht="57" customHeight="1" x14ac:dyDescent="0.35">
      <c r="A19" s="106" t="s">
        <v>196</v>
      </c>
      <c r="B19" s="23" t="s">
        <v>117</v>
      </c>
      <c r="D19" s="25" t="s">
        <v>84</v>
      </c>
      <c r="E19" s="8"/>
      <c r="F19" s="8">
        <v>0.05</v>
      </c>
      <c r="G19" s="8"/>
      <c r="H19" s="36">
        <v>0.03</v>
      </c>
      <c r="I19" s="38">
        <f>(H19-F19)/F19</f>
        <v>-0.40000000000000008</v>
      </c>
      <c r="J19" s="36">
        <v>0.03</v>
      </c>
      <c r="K19" s="38">
        <f t="shared" ref="K19:K21" si="3">(J19-H19)/H19</f>
        <v>0</v>
      </c>
      <c r="L19" s="95" t="s">
        <v>12</v>
      </c>
      <c r="M19" s="110" t="s">
        <v>214</v>
      </c>
      <c r="N19" s="8">
        <v>0.05</v>
      </c>
      <c r="O19" s="39">
        <f>N19*(1+I19)</f>
        <v>2.9999999999999995E-2</v>
      </c>
      <c r="P19" s="39">
        <f>O19*(1+K19)</f>
        <v>2.9999999999999995E-2</v>
      </c>
      <c r="Q19" s="35" t="s">
        <v>213</v>
      </c>
    </row>
    <row r="20" spans="1:18" ht="35.1" customHeight="1" x14ac:dyDescent="0.35">
      <c r="A20" s="106" t="s">
        <v>204</v>
      </c>
      <c r="B20" s="23" t="s">
        <v>118</v>
      </c>
      <c r="D20" s="25" t="s">
        <v>85</v>
      </c>
      <c r="E20" s="8"/>
      <c r="F20" s="8">
        <v>1.67</v>
      </c>
      <c r="G20" s="8"/>
      <c r="H20" s="8">
        <v>1.67</v>
      </c>
      <c r="I20" s="38">
        <f>(H20-F20)/F20</f>
        <v>0</v>
      </c>
      <c r="J20" s="35">
        <v>1.67</v>
      </c>
      <c r="K20" s="38">
        <f t="shared" si="3"/>
        <v>0</v>
      </c>
      <c r="L20" s="95"/>
      <c r="M20" s="109" t="s">
        <v>242</v>
      </c>
      <c r="N20" s="8">
        <v>4</v>
      </c>
      <c r="O20" s="39">
        <f>N20*(1+I20)</f>
        <v>4</v>
      </c>
      <c r="P20" s="39">
        <f>O20*(1+K20)</f>
        <v>4</v>
      </c>
      <c r="Q20" s="37"/>
    </row>
    <row r="21" spans="1:18" ht="35.1" customHeight="1" x14ac:dyDescent="0.35">
      <c r="A21" s="106" t="s">
        <v>197</v>
      </c>
      <c r="B21" s="23" t="s">
        <v>119</v>
      </c>
      <c r="D21" s="25" t="s">
        <v>86</v>
      </c>
      <c r="E21" s="34"/>
      <c r="F21" s="35">
        <v>2</v>
      </c>
      <c r="G21" s="34"/>
      <c r="H21" s="35">
        <v>2</v>
      </c>
      <c r="I21" s="38">
        <f>(H21-F21)/F21</f>
        <v>0</v>
      </c>
      <c r="J21" s="35">
        <v>2</v>
      </c>
      <c r="K21" s="38">
        <f t="shared" si="3"/>
        <v>0</v>
      </c>
      <c r="L21" s="95"/>
      <c r="M21" s="109"/>
      <c r="N21" s="8">
        <v>2</v>
      </c>
      <c r="O21" s="39">
        <f>N21*(1+I21)</f>
        <v>2</v>
      </c>
      <c r="P21" s="39">
        <f>O21*(1+K21)</f>
        <v>2</v>
      </c>
      <c r="Q21" s="37"/>
    </row>
    <row r="22" spans="1:18" ht="60" x14ac:dyDescent="0.35">
      <c r="A22" s="106" t="s">
        <v>205</v>
      </c>
      <c r="B22" s="23" t="s">
        <v>98</v>
      </c>
      <c r="D22" s="25" t="s">
        <v>87</v>
      </c>
      <c r="E22" s="8"/>
      <c r="F22" s="36">
        <f>((F17+F19)*F3+F18*F4)/F4</f>
        <v>0.76660000000000006</v>
      </c>
      <c r="G22" s="8"/>
      <c r="H22" s="36">
        <f>((H17+H19)*H3+H18*H4)/H4</f>
        <v>0.4345</v>
      </c>
      <c r="I22" s="8"/>
      <c r="J22" s="36">
        <f>((J17+J19)*J3+J18*J4)/J4</f>
        <v>0.17825105723848592</v>
      </c>
      <c r="K22" s="35"/>
      <c r="L22" s="8" t="s">
        <v>6</v>
      </c>
      <c r="M22" s="110" t="s">
        <v>243</v>
      </c>
      <c r="N22" s="8"/>
      <c r="O22" s="8"/>
    </row>
    <row r="23" spans="1:18" ht="30" x14ac:dyDescent="0.35">
      <c r="A23" s="106" t="s">
        <v>198</v>
      </c>
      <c r="B23" s="23" t="s">
        <v>51</v>
      </c>
      <c r="D23" s="25" t="s">
        <v>88</v>
      </c>
      <c r="E23" s="8"/>
      <c r="F23" s="8">
        <v>5600</v>
      </c>
      <c r="G23" s="8"/>
      <c r="H23" s="8">
        <v>7500</v>
      </c>
      <c r="I23" s="31"/>
      <c r="J23" s="35">
        <v>7500</v>
      </c>
      <c r="K23" s="31"/>
      <c r="L23" s="95" t="s">
        <v>12</v>
      </c>
      <c r="M23" s="110" t="s">
        <v>214</v>
      </c>
      <c r="N23" s="8"/>
      <c r="O23" s="33"/>
      <c r="P23" s="33"/>
      <c r="Q23" s="36"/>
      <c r="R23" s="40"/>
    </row>
    <row r="24" spans="1:18" ht="54" x14ac:dyDescent="0.35">
      <c r="A24" s="105" t="s">
        <v>199</v>
      </c>
      <c r="B24" s="23" t="s">
        <v>99</v>
      </c>
      <c r="D24" s="25" t="s">
        <v>89</v>
      </c>
      <c r="E24" s="8"/>
      <c r="F24" s="8">
        <f>F26/(F3/F4)</f>
        <v>28</v>
      </c>
      <c r="G24" s="8"/>
      <c r="H24" s="8">
        <f>H26/(H3/H4)</f>
        <v>28</v>
      </c>
      <c r="I24" s="31"/>
      <c r="J24" s="8">
        <f>J26/(J3/J4)</f>
        <v>28</v>
      </c>
      <c r="K24" s="31"/>
      <c r="L24" s="95"/>
      <c r="M24" s="111" t="s">
        <v>244</v>
      </c>
      <c r="N24" s="8"/>
      <c r="O24" s="37"/>
      <c r="P24" s="37"/>
      <c r="Q24" s="37"/>
    </row>
    <row r="25" spans="1:18" ht="54" x14ac:dyDescent="0.35">
      <c r="A25" s="106" t="s">
        <v>168</v>
      </c>
      <c r="B25" s="23" t="s">
        <v>100</v>
      </c>
      <c r="D25" s="25" t="s">
        <v>90</v>
      </c>
      <c r="E25" s="8"/>
      <c r="F25" s="8">
        <f>F27/(F3/F4)</f>
        <v>13000</v>
      </c>
      <c r="G25" s="8"/>
      <c r="H25" s="8">
        <f>H27/(H3/H4)</f>
        <v>13000</v>
      </c>
      <c r="I25" s="31"/>
      <c r="J25" s="8">
        <f>J27/(J3/J4)</f>
        <v>13000</v>
      </c>
      <c r="K25" s="31"/>
      <c r="L25" s="95"/>
      <c r="M25" s="111" t="s">
        <v>245</v>
      </c>
      <c r="N25" s="8"/>
      <c r="O25" s="37"/>
      <c r="P25" s="37"/>
      <c r="Q25" s="37"/>
    </row>
    <row r="26" spans="1:18" x14ac:dyDescent="0.35">
      <c r="A26" s="106" t="s">
        <v>200</v>
      </c>
      <c r="B26" s="23" t="s">
        <v>52</v>
      </c>
      <c r="D26" s="25" t="s">
        <v>91</v>
      </c>
      <c r="E26" s="8"/>
      <c r="F26" s="8">
        <v>56</v>
      </c>
      <c r="G26" s="8"/>
      <c r="H26" s="8">
        <v>56</v>
      </c>
      <c r="I26" s="31"/>
      <c r="J26" s="8">
        <v>56</v>
      </c>
      <c r="K26" s="31"/>
      <c r="L26" s="95"/>
      <c r="M26" s="109" t="s">
        <v>214</v>
      </c>
      <c r="N26" s="8"/>
      <c r="O26" s="37"/>
      <c r="P26" s="37"/>
      <c r="Q26" s="37"/>
    </row>
    <row r="27" spans="1:18" x14ac:dyDescent="0.35">
      <c r="A27" s="106" t="s">
        <v>206</v>
      </c>
      <c r="B27" s="23" t="s">
        <v>53</v>
      </c>
      <c r="D27" s="25" t="s">
        <v>92</v>
      </c>
      <c r="E27" s="5"/>
      <c r="F27" s="8">
        <v>26000</v>
      </c>
      <c r="G27" s="5"/>
      <c r="H27" s="8">
        <v>26000</v>
      </c>
      <c r="I27" s="31"/>
      <c r="J27" s="8">
        <v>26000</v>
      </c>
      <c r="K27" s="31"/>
      <c r="L27" s="95"/>
      <c r="M27" s="109"/>
      <c r="N27" s="8"/>
      <c r="O27" s="37"/>
      <c r="P27" s="37"/>
      <c r="Q27" s="37"/>
    </row>
    <row r="30" spans="1:18" s="5" customFormat="1" ht="15" x14ac:dyDescent="0.3">
      <c r="C30" s="15" t="s">
        <v>6</v>
      </c>
      <c r="D30" s="1" t="s">
        <v>41</v>
      </c>
      <c r="M30" s="41"/>
    </row>
    <row r="31" spans="1:18" s="5" customFormat="1" ht="15" x14ac:dyDescent="0.3">
      <c r="C31" s="15" t="s">
        <v>12</v>
      </c>
      <c r="D31" s="7" t="s">
        <v>42</v>
      </c>
      <c r="M31" s="41"/>
    </row>
    <row r="32" spans="1:18" s="5" customFormat="1" ht="15" x14ac:dyDescent="0.3">
      <c r="C32" s="15" t="s">
        <v>43</v>
      </c>
      <c r="D32" s="7" t="s">
        <v>44</v>
      </c>
      <c r="M32" s="41"/>
    </row>
    <row r="33" spans="3:13" s="5" customFormat="1" ht="15" x14ac:dyDescent="0.3">
      <c r="C33" s="15" t="s">
        <v>45</v>
      </c>
      <c r="D33" s="5" t="s">
        <v>46</v>
      </c>
      <c r="M33" s="41"/>
    </row>
    <row r="34" spans="3:13" s="5" customFormat="1" ht="15" x14ac:dyDescent="0.3">
      <c r="C34" s="15" t="s">
        <v>47</v>
      </c>
      <c r="D34" s="5" t="s">
        <v>96</v>
      </c>
      <c r="M34" s="41"/>
    </row>
    <row r="35" spans="3:13" s="5" customFormat="1" ht="15" x14ac:dyDescent="0.3">
      <c r="C35" s="15" t="s">
        <v>55</v>
      </c>
      <c r="D35" s="5" t="s">
        <v>62</v>
      </c>
      <c r="M35" s="41"/>
    </row>
    <row r="36" spans="3:13" s="5" customFormat="1" ht="15" x14ac:dyDescent="0.3">
      <c r="C36" s="15" t="s">
        <v>56</v>
      </c>
      <c r="D36" s="14" t="s">
        <v>97</v>
      </c>
      <c r="M36" s="41"/>
    </row>
  </sheetData>
  <mergeCells count="17">
    <mergeCell ref="L23:L27"/>
    <mergeCell ref="L17:L18"/>
    <mergeCell ref="L19:L21"/>
    <mergeCell ref="M17:M18"/>
    <mergeCell ref="M20:M21"/>
    <mergeCell ref="M26:M27"/>
    <mergeCell ref="L3:L5"/>
    <mergeCell ref="M7:M8"/>
    <mergeCell ref="L12:L15"/>
    <mergeCell ref="Q3:Q6"/>
    <mergeCell ref="Q1:Q2"/>
    <mergeCell ref="N1:P1"/>
    <mergeCell ref="M1:M2"/>
    <mergeCell ref="M3:M5"/>
    <mergeCell ref="L10:L11"/>
    <mergeCell ref="M10:M11"/>
    <mergeCell ref="M13:M15"/>
  </mergeCells>
  <conditionalFormatting sqref="D34">
    <cfRule type="duplicateValues" dxfId="1" priority="2"/>
  </conditionalFormatting>
  <conditionalFormatting sqref="D35">
    <cfRule type="duplicateValues" dxfId="0" priority="1"/>
  </conditionalFormatting>
  <hyperlinks>
    <hyperlink ref="D33" r:id="rId1" display="https://www.irena.org/-/media/Files/IRENA/Agency/Events/2017/Mar/15/2017_Kairies_Battery_Cost_and_Performance_01.pdf" xr:uid="{00000000-0004-0000-0100-000000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27"/>
  <sheetViews>
    <sheetView tabSelected="1" topLeftCell="A7" zoomScale="90" zoomScaleNormal="90" workbookViewId="0">
      <selection activeCell="D28" sqref="D28"/>
    </sheetView>
  </sheetViews>
  <sheetFormatPr baseColWidth="10" defaultColWidth="11.42578125" defaultRowHeight="18" x14ac:dyDescent="0.25"/>
  <cols>
    <col min="1" max="1" width="96.28515625" style="40" customWidth="1"/>
    <col min="2" max="2" width="67.85546875" style="40" hidden="1" customWidth="1"/>
    <col min="3" max="3" width="5.42578125" style="40" customWidth="1"/>
    <col min="4" max="10" width="9.85546875" style="40" customWidth="1"/>
    <col min="11" max="11" width="16.42578125" style="40" customWidth="1"/>
    <col min="12" max="12" width="9.85546875" style="40" customWidth="1"/>
    <col min="13" max="18" width="9.5703125" style="40" customWidth="1"/>
    <col min="19" max="19" width="10.42578125" style="40" hidden="1" customWidth="1"/>
    <col min="20" max="21" width="10.85546875" style="40" hidden="1" customWidth="1"/>
    <col min="22" max="22" width="9.5703125" style="40" hidden="1" customWidth="1"/>
    <col min="23" max="23" width="11.85546875" style="40" hidden="1" customWidth="1"/>
    <col min="24" max="24" width="11.42578125" style="40" hidden="1" customWidth="1"/>
    <col min="25" max="25" width="9.5703125" style="40" hidden="1" customWidth="1"/>
    <col min="26" max="26" width="11.28515625" style="40" hidden="1" customWidth="1"/>
    <col min="27" max="27" width="11.85546875" style="40" hidden="1" customWidth="1"/>
    <col min="28" max="28" width="42.140625" style="40" customWidth="1"/>
    <col min="29" max="29" width="10.140625" style="40" customWidth="1"/>
    <col min="30" max="16384" width="11.42578125" style="40"/>
  </cols>
  <sheetData>
    <row r="1" spans="1:29" s="24" customFormat="1" ht="30" x14ac:dyDescent="0.25">
      <c r="B1" s="2"/>
      <c r="D1" s="2"/>
      <c r="E1" s="2"/>
      <c r="F1" s="2"/>
      <c r="G1" s="133" t="s">
        <v>223</v>
      </c>
      <c r="H1" s="133"/>
      <c r="I1" s="133" t="s">
        <v>224</v>
      </c>
      <c r="J1" s="133"/>
      <c r="K1" s="54"/>
      <c r="L1" s="133" t="s">
        <v>225</v>
      </c>
      <c r="M1" s="133"/>
      <c r="N1" s="133" t="s">
        <v>226</v>
      </c>
      <c r="O1" s="133"/>
      <c r="P1" s="133" t="s">
        <v>227</v>
      </c>
      <c r="Q1" s="133"/>
      <c r="R1" s="2"/>
      <c r="S1" s="6" t="s">
        <v>58</v>
      </c>
      <c r="T1" s="6" t="s">
        <v>59</v>
      </c>
      <c r="U1" s="6" t="s">
        <v>60</v>
      </c>
      <c r="V1" s="2"/>
      <c r="W1" s="2"/>
      <c r="X1" s="2"/>
      <c r="Y1" s="2"/>
      <c r="Z1" s="2"/>
      <c r="AA1" s="2"/>
      <c r="AB1" s="6" t="s">
        <v>228</v>
      </c>
    </row>
    <row r="2" spans="1:29" ht="30" customHeight="1" x14ac:dyDescent="0.25">
      <c r="A2" s="83" t="s">
        <v>193</v>
      </c>
      <c r="B2" s="3" t="s">
        <v>48</v>
      </c>
      <c r="D2" s="6">
        <v>2020</v>
      </c>
      <c r="E2" s="6">
        <v>2030</v>
      </c>
      <c r="F2" s="6">
        <v>2050</v>
      </c>
      <c r="G2" s="2" t="s">
        <v>178</v>
      </c>
      <c r="H2" s="45" t="s">
        <v>177</v>
      </c>
      <c r="I2" s="45" t="s">
        <v>178</v>
      </c>
      <c r="J2" s="45" t="s">
        <v>177</v>
      </c>
      <c r="K2" s="2" t="s">
        <v>183</v>
      </c>
      <c r="L2" s="45" t="s">
        <v>178</v>
      </c>
      <c r="M2" s="45" t="s">
        <v>177</v>
      </c>
      <c r="N2" s="45" t="s">
        <v>178</v>
      </c>
      <c r="O2" s="45" t="s">
        <v>177</v>
      </c>
      <c r="P2" s="45" t="s">
        <v>178</v>
      </c>
      <c r="Q2" s="45" t="s">
        <v>177</v>
      </c>
      <c r="R2" s="45"/>
      <c r="S2" s="46">
        <v>2020</v>
      </c>
      <c r="T2" s="47">
        <f>L3</f>
        <v>-0.14457831325301204</v>
      </c>
      <c r="U2" s="47">
        <f>M3</f>
        <v>0.10843373493975904</v>
      </c>
      <c r="V2" s="46" t="s">
        <v>58</v>
      </c>
      <c r="W2" s="46" t="s">
        <v>59</v>
      </c>
      <c r="X2" s="46" t="s">
        <v>60</v>
      </c>
      <c r="Y2" s="45"/>
      <c r="Z2" s="45"/>
      <c r="AA2" s="45"/>
      <c r="AB2" s="130" t="s">
        <v>229</v>
      </c>
      <c r="AC2" s="24"/>
    </row>
    <row r="3" spans="1:29" ht="20.100000000000001" customHeight="1" x14ac:dyDescent="0.25">
      <c r="A3" s="127" t="s">
        <v>215</v>
      </c>
      <c r="B3" s="3" t="s">
        <v>104</v>
      </c>
      <c r="D3" s="45">
        <v>83</v>
      </c>
      <c r="E3" s="45">
        <v>85</v>
      </c>
      <c r="F3" s="45">
        <v>85</v>
      </c>
      <c r="G3" s="45">
        <v>71</v>
      </c>
      <c r="H3" s="45">
        <v>92</v>
      </c>
      <c r="I3" s="45">
        <v>74</v>
      </c>
      <c r="J3" s="45">
        <v>96</v>
      </c>
      <c r="K3" s="103" t="s">
        <v>12</v>
      </c>
      <c r="L3" s="48">
        <f>(G3-$D$3)/$D$3</f>
        <v>-0.14457831325301204</v>
      </c>
      <c r="M3" s="48">
        <f>(H3-$D$3)/$D$3</f>
        <v>0.10843373493975904</v>
      </c>
      <c r="N3" s="47">
        <f>(0.000506*E2)-1.165793</f>
        <v>-0.13861299999999988</v>
      </c>
      <c r="O3" s="47">
        <f>(0.000699*E2)-1.304087</f>
        <v>0.11488299999999985</v>
      </c>
      <c r="P3" s="48">
        <f>(I3-$F$3)/$F$3</f>
        <v>-0.12941176470588237</v>
      </c>
      <c r="Q3" s="48">
        <f>(J3-$F$3)/$F$3</f>
        <v>0.12941176470588237</v>
      </c>
      <c r="R3" s="45"/>
      <c r="S3" s="46">
        <v>2050</v>
      </c>
      <c r="T3" s="47">
        <f>P3</f>
        <v>-0.12941176470588237</v>
      </c>
      <c r="U3" s="47">
        <f>Q3</f>
        <v>0.12941176470588237</v>
      </c>
      <c r="V3" s="46">
        <v>2020</v>
      </c>
      <c r="W3" s="47">
        <f>L4</f>
        <v>-0.47368421052631576</v>
      </c>
      <c r="X3" s="47">
        <f>M4</f>
        <v>0.47368421052631576</v>
      </c>
      <c r="Y3" s="46" t="s">
        <v>58</v>
      </c>
      <c r="Z3" s="46" t="s">
        <v>59</v>
      </c>
      <c r="AA3" s="46" t="s">
        <v>60</v>
      </c>
      <c r="AB3" s="131"/>
      <c r="AC3" s="24"/>
    </row>
    <row r="4" spans="1:29" ht="20.100000000000001" customHeight="1" x14ac:dyDescent="0.25">
      <c r="A4" s="127" t="s">
        <v>154</v>
      </c>
      <c r="B4" s="3" t="s">
        <v>110</v>
      </c>
      <c r="D4" s="45">
        <v>19</v>
      </c>
      <c r="E4" s="45">
        <v>24</v>
      </c>
      <c r="F4" s="45">
        <v>24</v>
      </c>
      <c r="G4" s="45">
        <v>10</v>
      </c>
      <c r="H4" s="45">
        <v>28</v>
      </c>
      <c r="I4" s="45">
        <v>14</v>
      </c>
      <c r="J4" s="45">
        <v>36</v>
      </c>
      <c r="K4" s="103"/>
      <c r="L4" s="48">
        <f>(G4-$D$4)/$D$4</f>
        <v>-0.47368421052631576</v>
      </c>
      <c r="M4" s="48">
        <f>(H4-$D$4)/$D$4</f>
        <v>0.47368421052631576</v>
      </c>
      <c r="N4" s="47">
        <f>(0.001901*E2)-4.312865</f>
        <v>-0.45383500000000065</v>
      </c>
      <c r="O4" s="47">
        <f>(0.000877*E2)-1.298246</f>
        <v>0.48206399999999983</v>
      </c>
      <c r="P4" s="48">
        <f>(I4-$F$4)/$F$4</f>
        <v>-0.41666666666666669</v>
      </c>
      <c r="Q4" s="48">
        <f>(J4-$F$4)/$F$4</f>
        <v>0.5</v>
      </c>
      <c r="R4" s="45"/>
      <c r="S4" s="46" t="s">
        <v>58</v>
      </c>
      <c r="T4" s="46" t="s">
        <v>59</v>
      </c>
      <c r="U4" s="46" t="s">
        <v>60</v>
      </c>
      <c r="V4" s="46">
        <v>2050</v>
      </c>
      <c r="W4" s="47">
        <f>P4</f>
        <v>-0.41666666666666669</v>
      </c>
      <c r="X4" s="47">
        <f>Q4</f>
        <v>0.5</v>
      </c>
      <c r="Y4" s="46">
        <v>2020</v>
      </c>
      <c r="Z4" s="47">
        <f>L5</f>
        <v>-0.20000000000000004</v>
      </c>
      <c r="AA4" s="47">
        <f>M5</f>
        <v>1</v>
      </c>
      <c r="AB4" s="131"/>
      <c r="AC4" s="24"/>
    </row>
    <row r="5" spans="1:29" ht="20.100000000000001" customHeight="1" x14ac:dyDescent="0.25">
      <c r="A5" s="106" t="s">
        <v>196</v>
      </c>
      <c r="B5" s="3" t="s">
        <v>120</v>
      </c>
      <c r="D5" s="45">
        <v>0.05</v>
      </c>
      <c r="E5" s="45">
        <v>0.03</v>
      </c>
      <c r="F5" s="45">
        <v>0.03</v>
      </c>
      <c r="G5" s="45">
        <v>0.04</v>
      </c>
      <c r="H5" s="45">
        <v>0.1</v>
      </c>
      <c r="I5" s="45">
        <v>0.02</v>
      </c>
      <c r="J5" s="45">
        <v>0.05</v>
      </c>
      <c r="K5" s="103"/>
      <c r="L5" s="48">
        <f>(G5-$D$5)/$D$5</f>
        <v>-0.20000000000000004</v>
      </c>
      <c r="M5" s="48">
        <f>(H5-$D$5)/$D$5</f>
        <v>1</v>
      </c>
      <c r="N5" s="47">
        <f>(-0.004444*E2)+8.777778</f>
        <v>-0.2435419999999997</v>
      </c>
      <c r="O5" s="47">
        <f>(-0.011111*E2)+23.444444</f>
        <v>0.88911400000000285</v>
      </c>
      <c r="P5" s="48">
        <f>(I5-$F$5)/$F$5</f>
        <v>-0.33333333333333331</v>
      </c>
      <c r="Q5" s="48">
        <f>(J5-$F$5)/$F$5</f>
        <v>0.66666666666666685</v>
      </c>
      <c r="R5" s="45"/>
      <c r="S5" s="46">
        <v>2020</v>
      </c>
      <c r="T5" s="47">
        <f>L6</f>
        <v>-0.8035714285714286</v>
      </c>
      <c r="U5" s="47">
        <f>M6</f>
        <v>1</v>
      </c>
      <c r="V5" s="45"/>
      <c r="W5" s="45"/>
      <c r="X5" s="45"/>
      <c r="Y5" s="46">
        <v>2050</v>
      </c>
      <c r="Z5" s="47">
        <f>P5</f>
        <v>-0.33333333333333331</v>
      </c>
      <c r="AA5" s="47">
        <f>Q5</f>
        <v>0.66666666666666685</v>
      </c>
      <c r="AB5" s="131"/>
      <c r="AC5" s="24"/>
    </row>
    <row r="6" spans="1:29" ht="20.100000000000001" customHeight="1" x14ac:dyDescent="0.25">
      <c r="A6" s="127" t="s">
        <v>198</v>
      </c>
      <c r="B6" s="3" t="s">
        <v>61</v>
      </c>
      <c r="D6" s="45">
        <v>5600</v>
      </c>
      <c r="E6" s="45">
        <v>7500</v>
      </c>
      <c r="F6" s="45">
        <v>7500</v>
      </c>
      <c r="G6" s="45">
        <v>1100</v>
      </c>
      <c r="H6" s="45">
        <v>11200</v>
      </c>
      <c r="I6" s="45">
        <v>1500</v>
      </c>
      <c r="J6" s="45">
        <v>15000</v>
      </c>
      <c r="K6" s="103"/>
      <c r="L6" s="48">
        <f>(G6-$D$6)/$D$6</f>
        <v>-0.8035714285714286</v>
      </c>
      <c r="M6" s="48">
        <f>(H6-$D$6)/$D$6</f>
        <v>1</v>
      </c>
      <c r="N6" s="47">
        <f>(0.000119*E2)-1.044048</f>
        <v>-0.80247800000000002</v>
      </c>
      <c r="O6" s="47">
        <f>M6</f>
        <v>1</v>
      </c>
      <c r="P6" s="48">
        <f>(I6-$F$6)/$F$6</f>
        <v>-0.8</v>
      </c>
      <c r="Q6" s="48">
        <f>(J6-$F$6)/$F$6</f>
        <v>1</v>
      </c>
      <c r="R6" s="45"/>
      <c r="S6" s="46">
        <v>2050</v>
      </c>
      <c r="T6" s="47">
        <f>P6</f>
        <v>-0.8</v>
      </c>
      <c r="U6" s="47">
        <f>Q6</f>
        <v>1</v>
      </c>
      <c r="V6" s="45"/>
      <c r="W6" s="45"/>
      <c r="X6" s="45"/>
      <c r="Y6" s="45"/>
      <c r="Z6" s="45"/>
      <c r="AA6" s="45"/>
      <c r="AB6" s="132"/>
      <c r="AC6" s="24"/>
    </row>
    <row r="7" spans="1:29" ht="20.100000000000001" customHeight="1" x14ac:dyDescent="0.25">
      <c r="A7" s="128"/>
      <c r="B7" s="18"/>
      <c r="AC7" s="24"/>
    </row>
    <row r="8" spans="1:29" ht="20.100000000000001" customHeight="1" x14ac:dyDescent="0.25">
      <c r="A8" s="84"/>
      <c r="B8" s="49"/>
      <c r="D8" s="129" t="s">
        <v>93</v>
      </c>
      <c r="E8" s="129"/>
      <c r="F8" s="129"/>
      <c r="G8" s="129"/>
      <c r="H8" s="129"/>
      <c r="I8" s="129"/>
      <c r="J8" s="129"/>
      <c r="K8" s="129"/>
      <c r="L8" s="129"/>
      <c r="M8" s="43"/>
      <c r="N8" s="43"/>
      <c r="O8" s="50"/>
      <c r="P8" s="50"/>
      <c r="Q8" s="50"/>
    </row>
    <row r="9" spans="1:29" ht="20.100000000000001" customHeight="1" x14ac:dyDescent="0.25">
      <c r="A9" s="127" t="s">
        <v>145</v>
      </c>
      <c r="B9" s="3" t="s">
        <v>121</v>
      </c>
      <c r="D9" s="114" t="s">
        <v>246</v>
      </c>
      <c r="E9" s="114"/>
      <c r="F9" s="114"/>
      <c r="G9" s="114"/>
      <c r="H9" s="114"/>
      <c r="I9" s="114"/>
      <c r="J9" s="114"/>
      <c r="K9" s="114"/>
      <c r="L9" s="114"/>
      <c r="M9" s="44"/>
      <c r="N9" s="44"/>
      <c r="O9" s="51"/>
      <c r="P9" s="51"/>
      <c r="Q9" s="51"/>
    </row>
    <row r="10" spans="1:29" ht="20.100000000000001" customHeight="1" x14ac:dyDescent="0.25">
      <c r="A10" s="127" t="s">
        <v>146</v>
      </c>
      <c r="B10" s="3" t="s">
        <v>122</v>
      </c>
      <c r="D10" s="114"/>
      <c r="E10" s="114"/>
      <c r="F10" s="114"/>
      <c r="G10" s="114"/>
      <c r="H10" s="114"/>
      <c r="I10" s="114"/>
      <c r="J10" s="114"/>
      <c r="K10" s="114"/>
      <c r="L10" s="114"/>
      <c r="M10" s="44"/>
      <c r="N10" s="44"/>
      <c r="O10" s="51"/>
      <c r="P10" s="51"/>
      <c r="Q10" s="51"/>
    </row>
    <row r="11" spans="1:29" ht="20.100000000000001" customHeight="1" x14ac:dyDescent="0.25">
      <c r="A11" s="127" t="s">
        <v>147</v>
      </c>
      <c r="B11" s="3" t="s">
        <v>123</v>
      </c>
      <c r="D11" s="114"/>
      <c r="E11" s="114"/>
      <c r="F11" s="114"/>
      <c r="G11" s="114"/>
      <c r="H11" s="114"/>
      <c r="I11" s="114"/>
      <c r="J11" s="114"/>
      <c r="K11" s="114"/>
      <c r="L11" s="114"/>
      <c r="M11" s="44"/>
      <c r="N11" s="44"/>
      <c r="O11" s="51"/>
      <c r="P11" s="51"/>
      <c r="Q11" s="51"/>
    </row>
    <row r="12" spans="1:29" ht="20.100000000000001" customHeight="1" x14ac:dyDescent="0.25">
      <c r="A12" s="127" t="s">
        <v>216</v>
      </c>
      <c r="B12" s="3" t="s">
        <v>124</v>
      </c>
      <c r="D12" s="115" t="s">
        <v>230</v>
      </c>
      <c r="E12" s="116"/>
      <c r="F12" s="116"/>
      <c r="G12" s="116"/>
      <c r="H12" s="116"/>
      <c r="I12" s="116"/>
      <c r="J12" s="116"/>
      <c r="K12" s="116"/>
      <c r="L12" s="117"/>
      <c r="M12" s="44"/>
      <c r="N12" s="44"/>
      <c r="O12" s="51"/>
      <c r="P12" s="51"/>
      <c r="Q12" s="51"/>
    </row>
    <row r="13" spans="1:29" ht="20.100000000000001" customHeight="1" x14ac:dyDescent="0.25">
      <c r="A13" s="127" t="s">
        <v>152</v>
      </c>
      <c r="B13" s="3" t="s">
        <v>125</v>
      </c>
      <c r="D13" s="118"/>
      <c r="E13" s="119"/>
      <c r="F13" s="119"/>
      <c r="G13" s="119"/>
      <c r="H13" s="119"/>
      <c r="I13" s="119"/>
      <c r="J13" s="119"/>
      <c r="K13" s="119"/>
      <c r="L13" s="120"/>
      <c r="M13" s="44"/>
      <c r="N13" s="44"/>
      <c r="O13" s="51"/>
      <c r="P13" s="51"/>
      <c r="Q13" s="51"/>
    </row>
    <row r="14" spans="1:29" ht="20.100000000000001" customHeight="1" x14ac:dyDescent="0.25">
      <c r="A14" s="127" t="s">
        <v>217</v>
      </c>
      <c r="B14" s="3" t="s">
        <v>126</v>
      </c>
      <c r="D14" s="118"/>
      <c r="E14" s="119"/>
      <c r="F14" s="119"/>
      <c r="G14" s="119"/>
      <c r="H14" s="119"/>
      <c r="I14" s="119"/>
      <c r="J14" s="119"/>
      <c r="K14" s="119"/>
      <c r="L14" s="120"/>
      <c r="M14" s="44"/>
      <c r="N14" s="44"/>
      <c r="O14" s="51"/>
      <c r="P14" s="51"/>
      <c r="Q14" s="51"/>
    </row>
    <row r="15" spans="1:29" ht="20.100000000000001" customHeight="1" x14ac:dyDescent="0.25">
      <c r="A15" s="127" t="s">
        <v>155</v>
      </c>
      <c r="B15" s="3" t="s">
        <v>127</v>
      </c>
      <c r="D15" s="118"/>
      <c r="E15" s="119"/>
      <c r="F15" s="119"/>
      <c r="G15" s="119"/>
      <c r="H15" s="119"/>
      <c r="I15" s="119"/>
      <c r="J15" s="119"/>
      <c r="K15" s="119"/>
      <c r="L15" s="120"/>
      <c r="M15" s="44"/>
      <c r="N15" s="44"/>
      <c r="O15" s="51"/>
      <c r="P15" s="51"/>
      <c r="Q15" s="51"/>
    </row>
    <row r="16" spans="1:29" ht="20.100000000000001" customHeight="1" x14ac:dyDescent="0.25">
      <c r="A16" s="127" t="s">
        <v>171</v>
      </c>
      <c r="B16" s="3" t="s">
        <v>128</v>
      </c>
      <c r="D16" s="118"/>
      <c r="E16" s="119"/>
      <c r="F16" s="119"/>
      <c r="G16" s="119"/>
      <c r="H16" s="119"/>
      <c r="I16" s="119"/>
      <c r="J16" s="119"/>
      <c r="K16" s="119"/>
      <c r="L16" s="120"/>
      <c r="M16" s="44"/>
      <c r="N16" s="44"/>
      <c r="O16" s="51"/>
      <c r="P16" s="51"/>
      <c r="Q16" s="51"/>
    </row>
    <row r="17" spans="1:17" ht="20.100000000000001" customHeight="1" x14ac:dyDescent="0.25">
      <c r="A17" s="127" t="s">
        <v>172</v>
      </c>
      <c r="B17" s="3" t="s">
        <v>129</v>
      </c>
      <c r="D17" s="121"/>
      <c r="E17" s="122"/>
      <c r="F17" s="122"/>
      <c r="G17" s="122"/>
      <c r="H17" s="122"/>
      <c r="I17" s="122"/>
      <c r="J17" s="122"/>
      <c r="K17" s="122"/>
      <c r="L17" s="123"/>
      <c r="M17" s="44"/>
      <c r="N17" s="44"/>
      <c r="O17" s="51"/>
      <c r="P17" s="51"/>
      <c r="Q17" s="51"/>
    </row>
    <row r="18" spans="1:17" ht="50.1" customHeight="1" x14ac:dyDescent="0.25">
      <c r="A18" s="127" t="s">
        <v>159</v>
      </c>
      <c r="B18" s="3" t="s">
        <v>130</v>
      </c>
      <c r="D18" s="114" t="s">
        <v>240</v>
      </c>
      <c r="E18" s="114"/>
      <c r="F18" s="114"/>
      <c r="G18" s="114"/>
      <c r="H18" s="114"/>
      <c r="I18" s="114"/>
      <c r="J18" s="114"/>
      <c r="K18" s="114"/>
      <c r="L18" s="114"/>
      <c r="M18" s="44"/>
      <c r="N18" s="44"/>
      <c r="O18" s="51"/>
      <c r="P18" s="52"/>
      <c r="Q18" s="52"/>
    </row>
    <row r="19" spans="1:17" ht="20.100000000000001" customHeight="1" x14ac:dyDescent="0.25">
      <c r="A19" s="127" t="s">
        <v>218</v>
      </c>
      <c r="B19" s="3" t="s">
        <v>131</v>
      </c>
      <c r="D19" s="114" t="s">
        <v>231</v>
      </c>
      <c r="E19" s="114"/>
      <c r="F19" s="114"/>
      <c r="G19" s="114"/>
      <c r="H19" s="114"/>
      <c r="I19" s="114"/>
      <c r="J19" s="114"/>
      <c r="K19" s="114"/>
      <c r="L19" s="114"/>
      <c r="M19" s="44"/>
      <c r="N19" s="44"/>
      <c r="O19" s="51"/>
      <c r="P19" s="52"/>
      <c r="Q19" s="52"/>
    </row>
    <row r="20" spans="1:17" ht="20.100000000000001" customHeight="1" x14ac:dyDescent="0.25">
      <c r="A20" s="127" t="s">
        <v>233</v>
      </c>
      <c r="B20" s="3" t="s">
        <v>132</v>
      </c>
      <c r="D20" s="114"/>
      <c r="E20" s="114"/>
      <c r="F20" s="114"/>
      <c r="G20" s="114"/>
      <c r="H20" s="114"/>
      <c r="I20" s="114"/>
      <c r="J20" s="114"/>
      <c r="K20" s="114"/>
      <c r="L20" s="114"/>
      <c r="M20" s="44"/>
      <c r="N20" s="44"/>
      <c r="O20" s="51"/>
      <c r="P20" s="52"/>
      <c r="Q20" s="52"/>
    </row>
    <row r="21" spans="1:17" ht="20.100000000000001" customHeight="1" x14ac:dyDescent="0.25">
      <c r="A21" s="106" t="s">
        <v>222</v>
      </c>
      <c r="B21" s="3" t="s">
        <v>133</v>
      </c>
      <c r="D21" s="114" t="s">
        <v>232</v>
      </c>
      <c r="E21" s="114"/>
      <c r="F21" s="114"/>
      <c r="G21" s="114"/>
      <c r="H21" s="114"/>
      <c r="I21" s="114"/>
      <c r="J21" s="114"/>
      <c r="K21" s="114"/>
      <c r="L21" s="114"/>
      <c r="M21" s="44"/>
      <c r="N21" s="44"/>
      <c r="O21" s="51"/>
      <c r="P21" s="52"/>
      <c r="Q21" s="52"/>
    </row>
    <row r="22" spans="1:17" ht="20.100000000000001" customHeight="1" x14ac:dyDescent="0.25">
      <c r="A22" s="106" t="s">
        <v>234</v>
      </c>
      <c r="B22" s="3" t="s">
        <v>134</v>
      </c>
      <c r="D22" s="114"/>
      <c r="E22" s="114"/>
      <c r="F22" s="114"/>
      <c r="G22" s="114"/>
      <c r="H22" s="114"/>
      <c r="I22" s="114"/>
      <c r="J22" s="114"/>
      <c r="K22" s="114"/>
      <c r="L22" s="114"/>
      <c r="M22" s="44"/>
      <c r="N22" s="44"/>
      <c r="O22" s="51"/>
      <c r="P22" s="52"/>
      <c r="Q22" s="52"/>
    </row>
    <row r="23" spans="1:17" ht="50.1" customHeight="1" x14ac:dyDescent="0.25">
      <c r="A23" s="106" t="s">
        <v>221</v>
      </c>
      <c r="B23" s="3" t="s">
        <v>135</v>
      </c>
      <c r="D23" s="114" t="s">
        <v>243</v>
      </c>
      <c r="E23" s="114"/>
      <c r="F23" s="114"/>
      <c r="G23" s="114"/>
      <c r="H23" s="114"/>
      <c r="I23" s="114"/>
      <c r="J23" s="114"/>
      <c r="K23" s="114"/>
      <c r="L23" s="114"/>
      <c r="M23" s="44"/>
      <c r="N23" s="44"/>
      <c r="O23" s="51"/>
      <c r="P23" s="52"/>
      <c r="Q23" s="52"/>
    </row>
    <row r="24" spans="1:17" ht="50.1" customHeight="1" x14ac:dyDescent="0.25">
      <c r="A24" s="105" t="s">
        <v>199</v>
      </c>
      <c r="B24" s="3" t="s">
        <v>136</v>
      </c>
      <c r="D24" s="124" t="s">
        <v>247</v>
      </c>
      <c r="E24" s="125"/>
      <c r="F24" s="125"/>
      <c r="G24" s="125"/>
      <c r="H24" s="125"/>
      <c r="I24" s="125"/>
      <c r="J24" s="125"/>
      <c r="K24" s="125"/>
      <c r="L24" s="126"/>
      <c r="M24" s="44"/>
      <c r="N24" s="44"/>
      <c r="O24" s="51"/>
      <c r="P24" s="52"/>
      <c r="Q24" s="52"/>
    </row>
    <row r="25" spans="1:17" ht="50.1" customHeight="1" x14ac:dyDescent="0.25">
      <c r="A25" s="106" t="s">
        <v>219</v>
      </c>
      <c r="B25" s="3" t="s">
        <v>137</v>
      </c>
      <c r="D25" s="124" t="s">
        <v>248</v>
      </c>
      <c r="E25" s="125"/>
      <c r="F25" s="125"/>
      <c r="G25" s="125"/>
      <c r="H25" s="125"/>
      <c r="I25" s="125"/>
      <c r="J25" s="125"/>
      <c r="K25" s="125"/>
      <c r="L25" s="126"/>
      <c r="M25" s="44"/>
      <c r="N25" s="44"/>
      <c r="O25" s="51"/>
      <c r="P25" s="52"/>
      <c r="Q25" s="52"/>
    </row>
    <row r="26" spans="1:17" ht="24.95" customHeight="1" x14ac:dyDescent="0.25">
      <c r="A26" s="106" t="s">
        <v>200</v>
      </c>
      <c r="B26" s="3" t="s">
        <v>138</v>
      </c>
      <c r="D26" s="115" t="s">
        <v>231</v>
      </c>
      <c r="E26" s="116"/>
      <c r="F26" s="116"/>
      <c r="G26" s="116"/>
      <c r="H26" s="116"/>
      <c r="I26" s="116"/>
      <c r="J26" s="116"/>
      <c r="K26" s="116"/>
      <c r="L26" s="117"/>
      <c r="M26" s="44"/>
      <c r="N26" s="44"/>
      <c r="O26" s="51"/>
      <c r="P26" s="52"/>
      <c r="Q26" s="52"/>
    </row>
    <row r="27" spans="1:17" ht="24.95" customHeight="1" x14ac:dyDescent="0.25">
      <c r="A27" s="106" t="s">
        <v>220</v>
      </c>
      <c r="B27" s="3" t="s">
        <v>139</v>
      </c>
      <c r="D27" s="121"/>
      <c r="E27" s="122"/>
      <c r="F27" s="122"/>
      <c r="G27" s="122"/>
      <c r="H27" s="122"/>
      <c r="I27" s="122"/>
      <c r="J27" s="122"/>
      <c r="K27" s="122"/>
      <c r="L27" s="123"/>
      <c r="M27" s="44"/>
      <c r="N27" s="44"/>
      <c r="O27" s="51"/>
      <c r="P27" s="52"/>
      <c r="Q27" s="52"/>
    </row>
  </sheetData>
  <mergeCells count="17">
    <mergeCell ref="AB2:AB6"/>
    <mergeCell ref="D24:L24"/>
    <mergeCell ref="D25:L25"/>
    <mergeCell ref="D26:L27"/>
    <mergeCell ref="D21:L22"/>
    <mergeCell ref="D23:L23"/>
    <mergeCell ref="D8:L8"/>
    <mergeCell ref="D9:L11"/>
    <mergeCell ref="D18:L18"/>
    <mergeCell ref="D19:L20"/>
    <mergeCell ref="K3:K6"/>
    <mergeCell ref="D12:L17"/>
    <mergeCell ref="G1:H1"/>
    <mergeCell ref="I1:J1"/>
    <mergeCell ref="L1:M1"/>
    <mergeCell ref="N1:O1"/>
    <mergeCell ref="P1:Q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Gráficos</vt:lpstr>
      </vt:variant>
      <vt:variant>
        <vt:i4>9</vt:i4>
      </vt:variant>
    </vt:vector>
  </HeadingPairs>
  <TitlesOfParts>
    <vt:vector size="12" baseType="lpstr">
      <vt:lpstr>NaS</vt:lpstr>
      <vt:lpstr>Data</vt:lpstr>
      <vt:lpstr>Uncertanties</vt:lpstr>
      <vt:lpstr>03URT_L</vt:lpstr>
      <vt:lpstr>03URT_U</vt:lpstr>
      <vt:lpstr>04UTL_L</vt:lpstr>
      <vt:lpstr>04UTL_U</vt:lpstr>
      <vt:lpstr>05UOP_L</vt:lpstr>
      <vt:lpstr>05UOP_U</vt:lpstr>
      <vt:lpstr>17_EC</vt:lpstr>
      <vt:lpstr>18_CC</vt:lpstr>
      <vt:lpstr>06ULT_L</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Roberto Ulises Ruiz Saucedo</cp:lastModifiedBy>
  <cp:revision/>
  <dcterms:created xsi:type="dcterms:W3CDTF">2020-01-16T22:42:34Z</dcterms:created>
  <dcterms:modified xsi:type="dcterms:W3CDTF">2020-10-12T23:00:23Z</dcterms:modified>
</cp:coreProperties>
</file>