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drawings/drawing4.xml" ContentType="application/vnd.openxmlformats-officedocument.drawing+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527"/>
  <workbookPr defaultThemeVersion="124226"/>
  <mc:AlternateContent xmlns:mc="http://schemas.openxmlformats.org/markup-compatibility/2006">
    <mc:Choice Requires="x15">
      <x15ac:absPath xmlns:x15ac="http://schemas.microsoft.com/office/spreadsheetml/2010/11/ac" url="I:\03-PROY ALM ENE\04-INFORMES ESP\02\Tablas V11 ESPAÑOL\"/>
    </mc:Choice>
  </mc:AlternateContent>
  <xr:revisionPtr revIDLastSave="0" documentId="13_ncr:1_{47F61C36-70BB-4B96-B0AE-F3B4864A30E7}" xr6:coauthVersionLast="45" xr6:coauthVersionMax="45" xr10:uidLastSave="{00000000-0000-0000-0000-000000000000}"/>
  <bookViews>
    <workbookView xWindow="-120" yWindow="-120" windowWidth="29040" windowHeight="15840" xr2:uid="{00000000-000D-0000-FFFF-FFFF00000000}"/>
  </bookViews>
  <sheets>
    <sheet name="LA" sheetId="4" r:id="rId1"/>
    <sheet name="Data" sheetId="1" r:id="rId2"/>
    <sheet name="Uncertanties" sheetId="12" r:id="rId3"/>
    <sheet name="17_EC" sheetId="8" r:id="rId4"/>
    <sheet name="22_LTN" sheetId="11" r:id="rId5"/>
    <sheet name="25_SE" sheetId="21" r:id="rId6"/>
    <sheet name="26_ED" sheetId="22" r:id="rId7"/>
  </sheets>
  <externalReferences>
    <externalReference r:id="rId8"/>
    <externalReference r:id="rId9"/>
    <externalReference r:id="rId10"/>
  </externalReferences>
  <definedNames>
    <definedName name="BTV11_15">'[1]arbejds ark LARGE New'!$K$33</definedName>
    <definedName name="BVT17_15">'[1]arbejds ark LARGE New'!$S$67</definedName>
    <definedName name="EUR16tilEUR15">'[1]22 Photovoltaics  LARGE Old'!$N$2</definedName>
    <definedName name="Index" localSheetId="0">#REF!</definedName>
    <definedName name="Index">#REF!</definedName>
    <definedName name="Sheet" localSheetId="0">#REF!</definedName>
    <definedName name="Sheet">#REF!</definedName>
    <definedName name="Start10" localSheetId="0">'[2]Li-Ion Battery'!#REF!</definedName>
    <definedName name="Start10">'[3]03 Lithium Ion Battery'!#REF!</definedName>
    <definedName name="Start11" localSheetId="0">LA!#REF!</definedName>
    <definedName name="Start12" localSheetId="0">'[2]Molten Salt'!#REF!</definedName>
    <definedName name="Start13" localSheetId="0">#REF!</definedName>
    <definedName name="Start13">#REF!</definedName>
    <definedName name="Start14" localSheetId="0">#REF!</definedName>
    <definedName name="Start14">#REF!</definedName>
    <definedName name="Start15" localSheetId="0">#REF!</definedName>
    <definedName name="Start15">#REF!</definedName>
    <definedName name="Start16" localSheetId="0">#REF!</definedName>
    <definedName name="Start16">#REF!</definedName>
    <definedName name="Start17" localSheetId="0">#REF!</definedName>
    <definedName name="Start17">#REF!</definedName>
    <definedName name="Start18" localSheetId="0">#REF!</definedName>
    <definedName name="Start18">#REF!</definedName>
    <definedName name="Start19" localSheetId="0">#REF!</definedName>
    <definedName name="Start19">#REF!</definedName>
    <definedName name="Start2" localSheetId="0">#REF!</definedName>
    <definedName name="Start2">#REF!</definedName>
    <definedName name="Start20" localSheetId="0">#REF!</definedName>
    <definedName name="Start20">#REF!</definedName>
    <definedName name="Start21" localSheetId="0">#REF!</definedName>
    <definedName name="Start21">#REF!</definedName>
    <definedName name="Start22" localSheetId="0">#REF!</definedName>
    <definedName name="Start22">#REF!</definedName>
    <definedName name="Start23" localSheetId="0">#REF!</definedName>
    <definedName name="Start23">#REF!</definedName>
    <definedName name="Start24" localSheetId="0">#REF!</definedName>
    <definedName name="Start24">#REF!</definedName>
    <definedName name="Start25" localSheetId="0">#REF!</definedName>
    <definedName name="Start25">#REF!</definedName>
    <definedName name="Start26" localSheetId="0">#REF!</definedName>
    <definedName name="Start26">#REF!</definedName>
    <definedName name="Start27" localSheetId="0">#REF!</definedName>
    <definedName name="Start27">#REF!</definedName>
    <definedName name="Start28" localSheetId="0">#REF!</definedName>
    <definedName name="Start28">#REF!</definedName>
    <definedName name="Start29" localSheetId="0">#REF!</definedName>
    <definedName name="Start29">#REF!</definedName>
    <definedName name="Start3" localSheetId="0">#REF!</definedName>
    <definedName name="Start3">#REF!</definedName>
    <definedName name="Start30" localSheetId="0">#REF!</definedName>
    <definedName name="Start30">#REF!</definedName>
    <definedName name="Start31" localSheetId="0">#REF!</definedName>
    <definedName name="Start31">#REF!</definedName>
    <definedName name="Start32" localSheetId="0">#REF!</definedName>
    <definedName name="Start32">#REF!</definedName>
    <definedName name="Start33" localSheetId="0">#REF!</definedName>
    <definedName name="Start33">#REF!</definedName>
    <definedName name="Start34" localSheetId="0">#REF!</definedName>
    <definedName name="Start34">#REF!</definedName>
    <definedName name="Start35" localSheetId="0">#REF!</definedName>
    <definedName name="Start35">#REF!</definedName>
    <definedName name="Start36" localSheetId="0">#REF!</definedName>
    <definedName name="Start36">#REF!</definedName>
    <definedName name="Start37" localSheetId="0">#REF!</definedName>
    <definedName name="Start37">#REF!</definedName>
    <definedName name="Start38" localSheetId="0">#REF!</definedName>
    <definedName name="Start38">#REF!</definedName>
    <definedName name="Start39" localSheetId="0">#REF!</definedName>
    <definedName name="Start39">#REF!</definedName>
    <definedName name="Start4" localSheetId="0">#REF!</definedName>
    <definedName name="Start4">#REF!</definedName>
    <definedName name="Start40" localSheetId="0">#REF!</definedName>
    <definedName name="Start40">#REF!</definedName>
    <definedName name="Start41" localSheetId="0">#REF!</definedName>
    <definedName name="Start41">#REF!</definedName>
    <definedName name="Start42" localSheetId="0">#REF!</definedName>
    <definedName name="Start42">#REF!</definedName>
    <definedName name="Start43" localSheetId="0">#REF!</definedName>
    <definedName name="Start43">#REF!</definedName>
    <definedName name="Start44" localSheetId="0">#REF!</definedName>
    <definedName name="Start44">#REF!</definedName>
    <definedName name="Start45" localSheetId="0">#REF!</definedName>
    <definedName name="Start45">#REF!</definedName>
    <definedName name="Start46" localSheetId="0">#REF!</definedName>
    <definedName name="Start46">#REF!</definedName>
    <definedName name="Start47" localSheetId="0">#REF!</definedName>
    <definedName name="Start47">#REF!</definedName>
    <definedName name="Start5" localSheetId="0">#REF!</definedName>
    <definedName name="Start5">#REF!</definedName>
    <definedName name="Start6" localSheetId="0">#REF!</definedName>
    <definedName name="Start6">#REF!</definedName>
    <definedName name="Start7" localSheetId="0">#REF!</definedName>
    <definedName name="Start7">#REF!</definedName>
    <definedName name="Start8" localSheetId="0">[2]CAES!#REF!</definedName>
    <definedName name="Start9" localSheetId="0">[2]Flywheels!#REF!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36" i="1" l="1"/>
  <c r="F35" i="1"/>
  <c r="N5" i="12"/>
  <c r="M5" i="12"/>
  <c r="L5" i="12"/>
  <c r="K5" i="12"/>
  <c r="N4" i="12"/>
  <c r="M4" i="12"/>
  <c r="L4" i="12"/>
  <c r="K4" i="12"/>
  <c r="L26" i="1"/>
  <c r="L24" i="1" s="1"/>
  <c r="L25" i="1"/>
  <c r="L23" i="1" s="1"/>
  <c r="J24" i="1"/>
  <c r="H24" i="1"/>
  <c r="H23" i="1"/>
  <c r="J23" i="1"/>
  <c r="K3" i="12"/>
  <c r="P26" i="1" l="1"/>
  <c r="P24" i="1" s="1"/>
  <c r="H18" i="4"/>
  <c r="G18" i="4"/>
  <c r="E18" i="4"/>
  <c r="D18" i="4"/>
  <c r="H19" i="1"/>
  <c r="J19" i="1" s="1"/>
  <c r="L19" i="1" s="1"/>
  <c r="H20" i="1"/>
  <c r="J20" i="1" s="1"/>
  <c r="L20" i="1" s="1"/>
  <c r="I18" i="4" l="1"/>
  <c r="L7" i="1" l="1"/>
  <c r="L8" i="1" s="1"/>
  <c r="J7" i="1"/>
  <c r="J8" i="1" s="1"/>
  <c r="H7" i="1"/>
  <c r="H8" i="1" s="1"/>
  <c r="D11" i="4"/>
  <c r="L18" i="1" l="1"/>
  <c r="P18" i="1" l="1"/>
  <c r="D30" i="4" l="1"/>
  <c r="H21" i="1" s="1"/>
  <c r="H28" i="4"/>
  <c r="G28" i="4"/>
  <c r="I28" i="4" s="1"/>
  <c r="F28" i="4"/>
  <c r="E28" i="4"/>
  <c r="D28" i="4"/>
  <c r="H27" i="4"/>
  <c r="G27" i="4"/>
  <c r="F27" i="4" l="1"/>
  <c r="E27" i="4"/>
  <c r="D27" i="4"/>
  <c r="F34" i="1" l="1"/>
  <c r="S4" i="1"/>
  <c r="G25" i="4"/>
  <c r="G30" i="4" s="1"/>
  <c r="G16" i="4"/>
  <c r="N3" i="12"/>
  <c r="M3" i="12"/>
  <c r="L3" i="12"/>
  <c r="J16" i="4" s="1"/>
  <c r="I16" i="4"/>
  <c r="D33" i="4" l="1"/>
  <c r="P25" i="1"/>
  <c r="H16" i="4"/>
  <c r="G23" i="4"/>
  <c r="D34" i="4"/>
  <c r="L12" i="1"/>
  <c r="J12" i="1"/>
  <c r="J11" i="4"/>
  <c r="J12" i="4" s="1"/>
  <c r="I11" i="4"/>
  <c r="I12" i="4" s="1"/>
  <c r="H11" i="4"/>
  <c r="H12" i="4" s="1"/>
  <c r="G11" i="4"/>
  <c r="G12" i="4" s="1"/>
  <c r="P23" i="1" l="1"/>
  <c r="G34" i="4"/>
  <c r="G32" i="4" s="1"/>
  <c r="H34" i="4"/>
  <c r="H32" i="4" s="1"/>
  <c r="G33" i="4"/>
  <c r="G31" i="4" s="1"/>
  <c r="D31" i="4"/>
  <c r="H33" i="4"/>
  <c r="H31" i="4" s="1"/>
  <c r="D32" i="4"/>
  <c r="J28" i="4"/>
  <c r="J27" i="4"/>
  <c r="I27" i="4"/>
  <c r="K18" i="1"/>
  <c r="Q18" i="1" s="1"/>
  <c r="E25" i="4" s="1"/>
  <c r="H25" i="4"/>
  <c r="J25" i="4" l="1"/>
  <c r="I25" i="4"/>
  <c r="I30" i="4" s="1"/>
  <c r="H30" i="4"/>
  <c r="H23" i="4"/>
  <c r="L22" i="1"/>
  <c r="F18" i="4" s="1"/>
  <c r="J18" i="4" l="1"/>
  <c r="D23" i="4"/>
  <c r="F11" i="4"/>
  <c r="F12" i="4" s="1"/>
  <c r="E11" i="4"/>
  <c r="E12" i="4" s="1"/>
  <c r="D12" i="4"/>
  <c r="L17" i="1" l="1"/>
  <c r="L16" i="1"/>
  <c r="M26" i="1" l="1"/>
  <c r="M25" i="1"/>
  <c r="K26" i="1"/>
  <c r="Q26" i="1" s="1"/>
  <c r="K25" i="1"/>
  <c r="Q25" i="1" l="1"/>
  <c r="E34" i="4"/>
  <c r="Q24" i="1"/>
  <c r="R26" i="1"/>
  <c r="M18" i="1"/>
  <c r="R18" i="1" s="1"/>
  <c r="F25" i="4" s="1"/>
  <c r="E24" i="4"/>
  <c r="F24" i="4"/>
  <c r="Q23" i="1" l="1"/>
  <c r="R25" i="1"/>
  <c r="E33" i="4"/>
  <c r="F34" i="4"/>
  <c r="F32" i="4" s="1"/>
  <c r="R24" i="1"/>
  <c r="E32" i="4"/>
  <c r="I34" i="4"/>
  <c r="I32" i="4" s="1"/>
  <c r="J34" i="4"/>
  <c r="J32" i="4" s="1"/>
  <c r="E23" i="4"/>
  <c r="E30" i="4"/>
  <c r="J21" i="1" s="1"/>
  <c r="F23" i="4"/>
  <c r="F30" i="4"/>
  <c r="L21" i="1" s="1"/>
  <c r="R23" i="1" l="1"/>
  <c r="F33" i="4"/>
  <c r="F31" i="4" s="1"/>
  <c r="E31" i="4"/>
  <c r="I33" i="4"/>
  <c r="I31" i="4" s="1"/>
  <c r="J33" i="4"/>
  <c r="J31" i="4" s="1"/>
  <c r="I23" i="4"/>
  <c r="J23" i="4"/>
  <c r="J30" i="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 Wolter</author>
  </authors>
  <commentList>
    <comment ref="D44" authorId="0" shapeId="0" xr:uid="{00000000-0006-0000-0100-000001000000}">
      <text>
        <r>
          <rPr>
            <b/>
            <sz val="9"/>
            <color indexed="81"/>
            <rFont val="Tahoma"/>
            <family val="2"/>
          </rPr>
          <t>Christoph Wolter:</t>
        </r>
        <r>
          <rPr>
            <sz val="9"/>
            <color indexed="81"/>
            <rFont val="Tahoma"/>
            <family val="2"/>
          </rPr>
          <t xml:space="preserve">
Please rewrite the reference as in the other chapters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Christoph Wolter</author>
  </authors>
  <commentList>
    <comment ref="D36" authorId="0" shapeId="0" xr:uid="{00000000-0006-0000-0200-000001000000}">
      <text>
        <r>
          <rPr>
            <b/>
            <sz val="9"/>
            <color indexed="81"/>
            <rFont val="Tahoma"/>
            <family val="2"/>
          </rPr>
          <t>Christoph Wolter:</t>
        </r>
        <r>
          <rPr>
            <sz val="9"/>
            <color indexed="81"/>
            <rFont val="Tahoma"/>
            <family val="2"/>
          </rPr>
          <t xml:space="preserve">
Please rewrite the reference as in the other chapters</t>
        </r>
      </text>
    </comment>
  </commentList>
</comments>
</file>

<file path=xl/sharedStrings.xml><?xml version="1.0" encoding="utf-8"?>
<sst xmlns="http://schemas.openxmlformats.org/spreadsheetml/2006/main" count="383" uniqueCount="270">
  <si>
    <t>Technology</t>
  </si>
  <si>
    <t>Ref</t>
  </si>
  <si>
    <t>Energy/technical data</t>
  </si>
  <si>
    <t>Form of energy stored</t>
  </si>
  <si>
    <t>Application</t>
  </si>
  <si>
    <t>Energy storage capacity for one unit (MWh)</t>
  </si>
  <si>
    <t>[1]</t>
  </si>
  <si>
    <t>Output capacity for one unit (MW)</t>
  </si>
  <si>
    <t>Input capacity for one unit (MW)</t>
  </si>
  <si>
    <t>A</t>
  </si>
  <si>
    <t>Round trip efficiency - DC (%)</t>
  </si>
  <si>
    <t>B</t>
  </si>
  <si>
    <t xml:space="preserve"> - Discharge efficiency (%)</t>
  </si>
  <si>
    <t>[2]</t>
  </si>
  <si>
    <t>Energy losses during storage (%/day)</t>
  </si>
  <si>
    <t>[6]</t>
  </si>
  <si>
    <t>Forced outage (%)</t>
  </si>
  <si>
    <t>C</t>
  </si>
  <si>
    <t>Planned outage (weeks per year)</t>
  </si>
  <si>
    <t>D</t>
  </si>
  <si>
    <t>Technical lifetime (years)</t>
  </si>
  <si>
    <t>Construction time (years)</t>
  </si>
  <si>
    <t>[3]</t>
  </si>
  <si>
    <t>Regulation ability</t>
  </si>
  <si>
    <t>Response time from idle to full-rated discharge (sec)</t>
  </si>
  <si>
    <t>E</t>
  </si>
  <si>
    <t>Response time from full-rated charge to full-rated discharge (sec)</t>
  </si>
  <si>
    <t>[4]</t>
  </si>
  <si>
    <t xml:space="preserve">Financial data                                 </t>
  </si>
  <si>
    <t>Specific investment (MUSD$2020 per MWh)</t>
  </si>
  <si>
    <t>F</t>
  </si>
  <si>
    <t xml:space="preserve"> - energy component (MUSD/MWh)</t>
  </si>
  <si>
    <t>G</t>
  </si>
  <si>
    <t xml:space="preserve"> - capacity component (MUSD$/MW) </t>
  </si>
  <si>
    <t>H</t>
  </si>
  <si>
    <t xml:space="preserve"> - other project costs (MUSD$/MWh)</t>
  </si>
  <si>
    <t xml:space="preserve">Technology specific data                                 </t>
  </si>
  <si>
    <t>Alternative Investment cost (M$USD2020/MW)</t>
  </si>
  <si>
    <t>Lifetime in total number of cycles</t>
  </si>
  <si>
    <t>[7]</t>
  </si>
  <si>
    <t>Specific power (W/kg)</t>
  </si>
  <si>
    <t>Specific energy (Wh/kg)</t>
  </si>
  <si>
    <t>IRENA (2017). Electricity storage and renewables: Costs and markets to 2030. Cost of service tool. Available in: https://www.irena.org/publications/2017/Oct/Electricity-storage-and-renewables-costs-and-markets</t>
  </si>
  <si>
    <t>Luo, X., Wang, J., Dooner, M., &amp; Clarke, J. (2015). Overview of current development in electrical energy storage technologies and the application potential in power system operation. Applied Energy, 137, 511–536. https://doi.org/https://doi.org/10.1016/j.apenergy.2014.09.081</t>
  </si>
  <si>
    <t>Schmidt, O., Melchior, S., Hawkes, A., &amp; Staffell, I. (2019). Projecting the Future Levelized Cost of Electricity Storage Technologies. Joule, 3(1), 81–100. https://doi.org/10.1016/j.joule.2018.12.008</t>
  </si>
  <si>
    <t>May, G. J., Davidson, A., &amp; Monahov, B. (2018). Lead batteries for utility energy storage: A review. Journal of Energy Storage, 15, 145–157. https://doi.org/10.1016/j.est.2017.11.008</t>
  </si>
  <si>
    <t>[5]</t>
  </si>
  <si>
    <t>https://www.irena.org/-/media/Files/IRENA/Agency/Events/2017/Mar/15/2017_Kairies_Battery_Cost_and_Performance_01.pdf</t>
  </si>
  <si>
    <t>[8]</t>
  </si>
  <si>
    <t>Lazard levelized cost of storage 2016</t>
  </si>
  <si>
    <t>Technical Data</t>
  </si>
  <si>
    <t>Lifetime in Total Number of Cycle</t>
  </si>
  <si>
    <t>Variable O&amp;M ($USD2020/MWh/year)</t>
  </si>
  <si>
    <t>Weight</t>
  </si>
  <si>
    <t>Volume</t>
  </si>
  <si>
    <t>kg</t>
  </si>
  <si>
    <t>m3</t>
  </si>
  <si>
    <t>Energy</t>
  </si>
  <si>
    <t>W</t>
  </si>
  <si>
    <t>m</t>
  </si>
  <si>
    <t>L</t>
  </si>
  <si>
    <t>Fullriver Battery. https://www.wholesalesolar.com/cms/fullriver-dc400-6-agm-battery-specs-4017212128.pdf</t>
  </si>
  <si>
    <t>kWh</t>
  </si>
  <si>
    <t>Energy density (kWh/m3)</t>
  </si>
  <si>
    <t>Power density (kW/m3)</t>
  </si>
  <si>
    <t>Fixed O&amp;M (kUSD2020/MW/year)</t>
  </si>
  <si>
    <t>[3], [1]</t>
  </si>
  <si>
    <t>ABB</t>
  </si>
  <si>
    <t>ESC</t>
  </si>
  <si>
    <t>OCO</t>
  </si>
  <si>
    <t>ICO</t>
  </si>
  <si>
    <t>RTE</t>
  </si>
  <si>
    <t>CE</t>
  </si>
  <si>
    <t>DE</t>
  </si>
  <si>
    <t>ELS</t>
  </si>
  <si>
    <t>FO</t>
  </si>
  <si>
    <t>PO</t>
  </si>
  <si>
    <t>TL</t>
  </si>
  <si>
    <t>CT</t>
  </si>
  <si>
    <t>RTI</t>
  </si>
  <si>
    <t>RTF</t>
  </si>
  <si>
    <t>SI</t>
  </si>
  <si>
    <t>EC</t>
  </si>
  <si>
    <t>CC</t>
  </si>
  <si>
    <t>FOM</t>
  </si>
  <si>
    <t>VOM</t>
  </si>
  <si>
    <t>AIC</t>
  </si>
  <si>
    <t>LTN</t>
  </si>
  <si>
    <t>SP</t>
  </si>
  <si>
    <t>PD</t>
  </si>
  <si>
    <t>SE</t>
  </si>
  <si>
    <t>ED</t>
  </si>
  <si>
    <t>NOTE</t>
  </si>
  <si>
    <t>[2], [3], [7]</t>
  </si>
  <si>
    <t>[3],[4], [6], [7]</t>
  </si>
  <si>
    <t>[9]</t>
  </si>
  <si>
    <t>[1], [3], [4], [7]</t>
  </si>
  <si>
    <t>Dimensions for array 1660 Ah, 48 VDC, 79,68 kWh (8x4) battery</t>
  </si>
  <si>
    <t>20 - 30</t>
  </si>
  <si>
    <t>30 - 50</t>
  </si>
  <si>
    <r>
      <t xml:space="preserve">Zakeri, B., &amp; Syri, S. (2015). Electrical energy storage systems: A comparative life cycle cost analysis. </t>
    </r>
    <r>
      <rPr>
        <i/>
        <sz val="10"/>
        <color theme="1"/>
        <rFont val="Montserrat Medium"/>
        <family val="3"/>
      </rPr>
      <t>Renewable and Sustainable Energy Reviews</t>
    </r>
    <r>
      <rPr>
        <sz val="10"/>
        <color theme="1"/>
        <rFont val="Montserrat Medium"/>
        <family val="3"/>
      </rPr>
      <t xml:space="preserve">, </t>
    </r>
    <r>
      <rPr>
        <i/>
        <sz val="10"/>
        <color theme="1"/>
        <rFont val="Montserrat Medium"/>
        <family val="3"/>
      </rPr>
      <t>42</t>
    </r>
    <r>
      <rPr>
        <sz val="10"/>
        <color theme="1"/>
        <rFont val="Montserrat Medium"/>
        <family val="3"/>
      </rPr>
      <t>, 569–596. https://doi.org/10.1016/j.rser.2014.10.011</t>
    </r>
  </si>
  <si>
    <r>
      <t xml:space="preserve">Energy storage capacity for one unit </t>
    </r>
    <r>
      <rPr>
        <sz val="8"/>
        <color theme="1"/>
        <rFont val="Montserrat Alternates Medium"/>
        <family val="3"/>
      </rPr>
      <t>(MWh)</t>
    </r>
  </si>
  <si>
    <r>
      <t xml:space="preserve">Output capacity for one unit </t>
    </r>
    <r>
      <rPr>
        <sz val="8"/>
        <color theme="1"/>
        <rFont val="Montserrat Alternates Medium"/>
        <family val="3"/>
      </rPr>
      <t>(MW)</t>
    </r>
  </si>
  <si>
    <r>
      <t xml:space="preserve">Input capacity for one unit </t>
    </r>
    <r>
      <rPr>
        <sz val="8"/>
        <color theme="1"/>
        <rFont val="Montserrat Alternates Medium"/>
        <family val="3"/>
      </rPr>
      <t>(MW)</t>
    </r>
  </si>
  <si>
    <r>
      <t xml:space="preserve">Round trip efficiency </t>
    </r>
    <r>
      <rPr>
        <sz val="8"/>
        <color theme="1"/>
        <rFont val="Montserrat Alternates Medium"/>
        <family val="3"/>
      </rPr>
      <t>(%)</t>
    </r>
  </si>
  <si>
    <r>
      <t xml:space="preserve"> - </t>
    </r>
    <r>
      <rPr>
        <i/>
        <sz val="8"/>
        <color theme="1"/>
        <rFont val="Montserrat Alternates Medium"/>
        <family val="3"/>
      </rPr>
      <t>Charge efficiency (%)</t>
    </r>
  </si>
  <si>
    <r>
      <t xml:space="preserve"> - Discharge efficiency </t>
    </r>
    <r>
      <rPr>
        <sz val="8"/>
        <color theme="1"/>
        <rFont val="Montserrat Alternates Medium"/>
        <family val="3"/>
      </rPr>
      <t>(%)</t>
    </r>
  </si>
  <si>
    <r>
      <t xml:space="preserve">Energy losses during storage </t>
    </r>
    <r>
      <rPr>
        <sz val="8"/>
        <color theme="1"/>
        <rFont val="Montserrat Alternates Medium"/>
        <family val="3"/>
      </rPr>
      <t>(%/day)</t>
    </r>
  </si>
  <si>
    <r>
      <t xml:space="preserve">Forced outage </t>
    </r>
    <r>
      <rPr>
        <sz val="8"/>
        <color theme="1"/>
        <rFont val="Montserrat Alternates Medium"/>
        <family val="3"/>
      </rPr>
      <t>(%)</t>
    </r>
  </si>
  <si>
    <r>
      <t xml:space="preserve">Planned outage </t>
    </r>
    <r>
      <rPr>
        <sz val="8"/>
        <color theme="1"/>
        <rFont val="Montserrat Alternates Medium"/>
        <family val="3"/>
      </rPr>
      <t>(weeks per year)</t>
    </r>
  </si>
  <si>
    <r>
      <t xml:space="preserve">Construction time </t>
    </r>
    <r>
      <rPr>
        <sz val="8"/>
        <color theme="1"/>
        <rFont val="Montserrat Alternates Medium"/>
        <family val="3"/>
      </rPr>
      <t>(years)</t>
    </r>
  </si>
  <si>
    <r>
      <t xml:space="preserve">Response time from idle to full-rated discharge </t>
    </r>
    <r>
      <rPr>
        <sz val="8"/>
        <color theme="1"/>
        <rFont val="Montserrat Alternates Medium"/>
        <family val="3"/>
      </rPr>
      <t>(sec)</t>
    </r>
  </si>
  <si>
    <r>
      <t xml:space="preserve">Response time from full-rated charge to full-rated  discharge </t>
    </r>
    <r>
      <rPr>
        <sz val="8"/>
        <color theme="1"/>
        <rFont val="Montserrat Alternates Medium"/>
        <family val="3"/>
      </rPr>
      <t>(sec)</t>
    </r>
  </si>
  <si>
    <r>
      <t xml:space="preserve">Specific investment </t>
    </r>
    <r>
      <rPr>
        <sz val="8"/>
        <color theme="1"/>
        <rFont val="Montserrat Alternates Medium"/>
        <family val="3"/>
      </rPr>
      <t>(MUSD2020 per MWh)</t>
    </r>
  </si>
  <si>
    <r>
      <t xml:space="preserve">  -Energy component </t>
    </r>
    <r>
      <rPr>
        <sz val="8"/>
        <color theme="1"/>
        <rFont val="Montserrat Alternates Medium"/>
        <family val="3"/>
      </rPr>
      <t>(MUSD2020/MWh)</t>
    </r>
  </si>
  <si>
    <r>
      <t xml:space="preserve">  -Capacity component </t>
    </r>
    <r>
      <rPr>
        <sz val="8"/>
        <color theme="1"/>
        <rFont val="Montserrat Alternates Medium"/>
        <family val="3"/>
      </rPr>
      <t>(MUSD2020/MW)</t>
    </r>
  </si>
  <si>
    <r>
      <t xml:space="preserve">Fixed O&amp;M </t>
    </r>
    <r>
      <rPr>
        <sz val="8"/>
        <color theme="1"/>
        <rFont val="Montserrat Alternates Medium"/>
        <family val="3"/>
      </rPr>
      <t>(MUSD2020/MW/year)</t>
    </r>
  </si>
  <si>
    <r>
      <t xml:space="preserve">Variable O&amp;M </t>
    </r>
    <r>
      <rPr>
        <sz val="8"/>
        <color theme="1"/>
        <rFont val="Montserrat Alternates Medium"/>
        <family val="3"/>
      </rPr>
      <t>(USD2020/MWh/year)</t>
    </r>
  </si>
  <si>
    <r>
      <t xml:space="preserve">Alternative investment cost </t>
    </r>
    <r>
      <rPr>
        <sz val="8"/>
        <color theme="1"/>
        <rFont val="Montserrat Alternates Medium"/>
        <family val="3"/>
      </rPr>
      <t>(MUSD2020 per MW)</t>
    </r>
  </si>
  <si>
    <r>
      <t xml:space="preserve">Specific power </t>
    </r>
    <r>
      <rPr>
        <sz val="8"/>
        <color theme="1"/>
        <rFont val="Montserrat Alternates Medium"/>
        <family val="3"/>
      </rPr>
      <t>(W/kg)</t>
    </r>
  </si>
  <si>
    <r>
      <t xml:space="preserve">Power density </t>
    </r>
    <r>
      <rPr>
        <sz val="8"/>
        <color theme="1"/>
        <rFont val="Montserrat Alternates Medium"/>
        <family val="3"/>
      </rPr>
      <t>(kW/m3)</t>
    </r>
  </si>
  <si>
    <r>
      <t xml:space="preserve">Energy Storage Capacity for One Unit </t>
    </r>
    <r>
      <rPr>
        <sz val="8"/>
        <color theme="1"/>
        <rFont val="Montserrat Medium"/>
        <family val="3"/>
      </rPr>
      <t>(MWh)</t>
    </r>
  </si>
  <si>
    <r>
      <t xml:space="preserve">Output Capacity for One Unit </t>
    </r>
    <r>
      <rPr>
        <sz val="8"/>
        <color theme="1"/>
        <rFont val="Montserrat Medium"/>
        <family val="3"/>
      </rPr>
      <t>(MW)</t>
    </r>
  </si>
  <si>
    <r>
      <t>Input Capacity for One Unit</t>
    </r>
    <r>
      <rPr>
        <sz val="8"/>
        <color theme="1"/>
        <rFont val="Montserrat Medium"/>
        <family val="3"/>
      </rPr>
      <t xml:space="preserve"> (MW)</t>
    </r>
  </si>
  <si>
    <r>
      <t xml:space="preserve">Round Trip Efficiency </t>
    </r>
    <r>
      <rPr>
        <sz val="8"/>
        <color theme="1"/>
        <rFont val="Montserrat Medium"/>
        <family val="3"/>
      </rPr>
      <t>(%)</t>
    </r>
  </si>
  <si>
    <r>
      <t xml:space="preserve">Charge Efficiency </t>
    </r>
    <r>
      <rPr>
        <sz val="8"/>
        <color theme="1"/>
        <rFont val="Montserrat Medium"/>
        <family val="3"/>
      </rPr>
      <t>(%)</t>
    </r>
  </si>
  <si>
    <r>
      <t xml:space="preserve">Discharge Efficiency </t>
    </r>
    <r>
      <rPr>
        <sz val="8"/>
        <color theme="1"/>
        <rFont val="Montserrat Medium"/>
        <family val="3"/>
      </rPr>
      <t>(%)</t>
    </r>
  </si>
  <si>
    <r>
      <t xml:space="preserve">Energy Losses during Storage </t>
    </r>
    <r>
      <rPr>
        <sz val="8"/>
        <color theme="1"/>
        <rFont val="Montserrat Medium"/>
        <family val="3"/>
      </rPr>
      <t>(%/day)</t>
    </r>
  </si>
  <si>
    <r>
      <t xml:space="preserve">Forced Outage </t>
    </r>
    <r>
      <rPr>
        <sz val="8"/>
        <color theme="1"/>
        <rFont val="Montserrat Medium"/>
        <family val="3"/>
      </rPr>
      <t>(%)</t>
    </r>
  </si>
  <si>
    <r>
      <t xml:space="preserve">Planned Outage </t>
    </r>
    <r>
      <rPr>
        <sz val="8"/>
        <color theme="1"/>
        <rFont val="Montserrat Medium"/>
        <family val="3"/>
      </rPr>
      <t>(weeks per year)</t>
    </r>
  </si>
  <si>
    <r>
      <t xml:space="preserve">Technical Lifetime </t>
    </r>
    <r>
      <rPr>
        <sz val="8"/>
        <color theme="1"/>
        <rFont val="Montserrat Medium"/>
        <family val="3"/>
      </rPr>
      <t>(years)</t>
    </r>
  </si>
  <si>
    <r>
      <t xml:space="preserve">Construction Time </t>
    </r>
    <r>
      <rPr>
        <sz val="8"/>
        <color theme="1"/>
        <rFont val="Montserrat Medium"/>
        <family val="3"/>
      </rPr>
      <t>(years)</t>
    </r>
  </si>
  <si>
    <r>
      <t xml:space="preserve">Response Time from Idle to Full-Rated Discharge </t>
    </r>
    <r>
      <rPr>
        <sz val="8"/>
        <color theme="1"/>
        <rFont val="Montserrat Medium"/>
        <family val="3"/>
      </rPr>
      <t>(sec)</t>
    </r>
  </si>
  <si>
    <r>
      <t xml:space="preserve">Response Time from Full-Rated Charge to Full-Rated Discharge </t>
    </r>
    <r>
      <rPr>
        <sz val="8"/>
        <color theme="1"/>
        <rFont val="Montserrat Medium"/>
        <family val="3"/>
      </rPr>
      <t>(sec)</t>
    </r>
  </si>
  <si>
    <r>
      <t xml:space="preserve">Specific Investment </t>
    </r>
    <r>
      <rPr>
        <sz val="8"/>
        <color theme="1"/>
        <rFont val="Montserrat Medium"/>
        <family val="3"/>
      </rPr>
      <t>(MUSD2015 per MWh)</t>
    </r>
  </si>
  <si>
    <r>
      <t xml:space="preserve">Energy Component </t>
    </r>
    <r>
      <rPr>
        <sz val="8"/>
        <color theme="1"/>
        <rFont val="Montserrat Medium"/>
        <family val="3"/>
      </rPr>
      <t>(MUSD2015 per MWh)</t>
    </r>
  </si>
  <si>
    <r>
      <t xml:space="preserve">Capacity Component </t>
    </r>
    <r>
      <rPr>
        <sz val="8"/>
        <color theme="1"/>
        <rFont val="Montserrat Medium"/>
        <family val="3"/>
      </rPr>
      <t>(MUSD per MW)</t>
    </r>
  </si>
  <si>
    <r>
      <t xml:space="preserve">Fixed O&amp;M </t>
    </r>
    <r>
      <rPr>
        <sz val="8"/>
        <color theme="1"/>
        <rFont val="Montserrat Medium"/>
        <family val="3"/>
      </rPr>
      <t>(MUSD2020/MW/year)</t>
    </r>
  </si>
  <si>
    <r>
      <t xml:space="preserve">Variable O&amp;M </t>
    </r>
    <r>
      <rPr>
        <sz val="8"/>
        <color theme="1"/>
        <rFont val="Montserrat Medium"/>
        <family val="3"/>
      </rPr>
      <t>(MUSD2020/MW/year)</t>
    </r>
  </si>
  <si>
    <r>
      <t xml:space="preserve">Alternative Investment Cost </t>
    </r>
    <r>
      <rPr>
        <sz val="10"/>
        <color theme="1"/>
        <rFont val="Montserrat Medium"/>
        <family val="3"/>
      </rPr>
      <t>(MUSD2020 per MW)</t>
    </r>
  </si>
  <si>
    <r>
      <t>Specific Power</t>
    </r>
    <r>
      <rPr>
        <sz val="10"/>
        <color theme="1"/>
        <rFont val="Montserrat Medium"/>
        <family val="3"/>
      </rPr>
      <t xml:space="preserve"> (W/kg)</t>
    </r>
  </si>
  <si>
    <r>
      <t>Power Density</t>
    </r>
    <r>
      <rPr>
        <sz val="10"/>
        <color theme="1"/>
        <rFont val="Montserrat Medium"/>
        <family val="3"/>
      </rPr>
      <t xml:space="preserve"> (kW/m3)</t>
    </r>
  </si>
  <si>
    <t>[8], [9]</t>
  </si>
  <si>
    <t>EASE/EERA. (2013). European Energy Storage Technology Development Roadmap Toward 2030. Retrieved from https://www.eera-set.eu/wp-content/uploads/148885-EASE-recommendations-Roadmap-04.pdf</t>
  </si>
  <si>
    <r>
      <t xml:space="preserve">Specific Energy </t>
    </r>
    <r>
      <rPr>
        <sz val="8"/>
        <color theme="1"/>
        <rFont val="Montserrat Medium"/>
      </rPr>
      <t>(Wh/kg)</t>
    </r>
  </si>
  <si>
    <r>
      <t xml:space="preserve">Energy Density </t>
    </r>
    <r>
      <rPr>
        <sz val="8"/>
        <color theme="1"/>
        <rFont val="Montserrat Medium"/>
      </rPr>
      <t>(kWh/m3)</t>
    </r>
  </si>
  <si>
    <t>Cálculo de peso, volumen y energía para Specific Energy and Energy Density</t>
  </si>
  <si>
    <r>
      <t xml:space="preserve"> - </t>
    </r>
    <r>
      <rPr>
        <i/>
        <sz val="9"/>
        <color theme="1"/>
        <rFont val="Montserrat Medium"/>
        <family val="3"/>
      </rPr>
      <t>Charge efficiency (%)</t>
    </r>
  </si>
  <si>
    <t>Tecnología</t>
  </si>
  <si>
    <t>Datos de energía/tecnicos</t>
  </si>
  <si>
    <t>Forma de energía almacenada</t>
  </si>
  <si>
    <t xml:space="preserve">Aplicación </t>
  </si>
  <si>
    <t>Capacidad de almacenamiento por unidad (MWh)</t>
  </si>
  <si>
    <t>Capacidad de inyección/descarga por unidad (MW)</t>
  </si>
  <si>
    <t>Capacidad de entrada por unidad (MW)</t>
  </si>
  <si>
    <t>Eficiencia de ciclo (%) DC</t>
  </si>
  <si>
    <t>Eficiencia de carga (%)</t>
  </si>
  <si>
    <t>Eficiencia de descarga (%)</t>
  </si>
  <si>
    <t>Perdida de energía durante el almacenamiento (%/día)</t>
  </si>
  <si>
    <t>Interrupción forzada (%)</t>
  </si>
  <si>
    <t>Interrupción planificada (Semanas por año)</t>
  </si>
  <si>
    <t>Tiempo de vida técnico (años)</t>
  </si>
  <si>
    <t>Tiempo de construcción (años)</t>
  </si>
  <si>
    <t>Tiempo de vida técnico (número total de ciclos)</t>
  </si>
  <si>
    <t>Habilidad de regulación</t>
  </si>
  <si>
    <t>Tiempo de respuesta desde inactivo hasta descarga nominal completa (seg.)</t>
  </si>
  <si>
    <t>Tiempo de respuesta desde la carga nominal completa hasta la descarga nominal completa (seg)</t>
  </si>
  <si>
    <t>Datos Financieros</t>
  </si>
  <si>
    <t xml:space="preserve"> - Componente de energía de la inversión especifica (MUSD/MWh)</t>
  </si>
  <si>
    <t>Costos Fijos de Operación y Mantenimiento (kUSD2020/MW/año)</t>
  </si>
  <si>
    <t>Datos especifico por tecnologia</t>
  </si>
  <si>
    <t>Poder especifico (W/kg)</t>
  </si>
  <si>
    <t>Energía específica (Wh/kg)</t>
  </si>
  <si>
    <t>Inversión especifica (MUSD$2020 / MWh)</t>
  </si>
  <si>
    <t xml:space="preserve"> - Componente de capacidad de la inversión especifica (MUSD$/MWh) </t>
  </si>
  <si>
    <t xml:space="preserve"> - otros costos del proyecto (MUSD$/MWh)</t>
  </si>
  <si>
    <t>Costos Variables de Operación y Mantenimiento ($USD2020/MWh/año)</t>
  </si>
  <si>
    <t>Costo de inversión alternativa (M$USD2020 / MW)</t>
  </si>
  <si>
    <t>Densidad de poder (kW/m3)</t>
  </si>
  <si>
    <t>Densidad de energia (kWh/m3)</t>
  </si>
  <si>
    <t>Batería de ácido sólido</t>
  </si>
  <si>
    <t>Incertidumbre (2030)</t>
  </si>
  <si>
    <t>Nota</t>
  </si>
  <si>
    <t>Baja</t>
  </si>
  <si>
    <t>Alta</t>
  </si>
  <si>
    <t>Electroquímica</t>
  </si>
  <si>
    <t>promedio</t>
  </si>
  <si>
    <t>Se supone que es la misma que la salida</t>
  </si>
  <si>
    <t>IRENA tiene una proyección ligeramente creciente, pero solo comienza en el 82%. Varios estudios mencionan un rango entre el 84% y el 86%; en la actualidad, comúnmente se asume un promedio del 85%.</t>
  </si>
  <si>
    <t>Se supone que no es necesaria una interrupción forzada debido al nivel de madurez de la tecnología.</t>
  </si>
  <si>
    <t>Las baterías de plomo-ácido inundadas requieren recarga, por lo que la interrupción, sin embargo, podría reducirse con el tiempo debido a la automatización. Las baterías de plomo-ácido reguladas por válvula más grandes no requieren recarga. Los valores se asumen en función de la comparación con la hoja de la batería Li-Ion</t>
  </si>
  <si>
    <t>Se supone que está en el rango de tiempo de respuesta nominal completo</t>
  </si>
  <si>
    <t>Estos datos se interpretan dentro de la herramienta IRENA como: "Coste de instalación de energía". Pero también estimado por: Inversión total en almacenamiento / Capacidad de almacenamiento instalada</t>
  </si>
  <si>
    <t>Los datos centrales se basan en valores de [3], mientras que los rangos de incertidumbre corresponden al intervalo relativo de valores de [1]</t>
  </si>
  <si>
    <t>Matriz 1660 Ah, 48 VCC, 79,68 kWh (8x4)</t>
  </si>
  <si>
    <t>Notas:</t>
  </si>
  <si>
    <t>Referencias</t>
  </si>
  <si>
    <t>Datos tecnicos</t>
  </si>
  <si>
    <t>Eficiencia de ciclo (%) AC</t>
  </si>
  <si>
    <t>Perdida de Energía durante el almacenamiento (%/día)</t>
  </si>
  <si>
    <t>Interrupción planificada (semanas por año)</t>
  </si>
  <si>
    <t>Tiempo de respuesta del estado inactivo a la descarga completa (seg)</t>
  </si>
  <si>
    <t>Inversión especifica (MUSD2015 / MWh)</t>
  </si>
  <si>
    <t>Componente de energía de la inversión especifica (MUSD2015/MWh)</t>
  </si>
  <si>
    <t>Componente de capacidad de la inversión especifica (MUSD/MW)</t>
  </si>
  <si>
    <t>Costos Fijos de Operación y Mantenimiento (MUSD2020/MW/año)</t>
  </si>
  <si>
    <t>Costos Variables de Operación y Mantenimiento (MUSD2020/MW/año)</t>
  </si>
  <si>
    <t>Vida útil en número total de ciclos</t>
  </si>
  <si>
    <t>Poder especifíco (W/kg)</t>
  </si>
  <si>
    <t>Energía específica  (Wh/kg)</t>
  </si>
  <si>
    <t>Densidad de energía (Wh/m3)</t>
  </si>
  <si>
    <t>Eficiencia de ciclo (%)</t>
  </si>
  <si>
    <t>Costo de inversión alternativo (MUSD2015/ MW)</t>
  </si>
  <si>
    <t>Tasa de cambio entre los años 2020 y 2030</t>
  </si>
  <si>
    <t>Tasa de cambio entre los años 2030 y 2050</t>
  </si>
  <si>
    <t xml:space="preserve">Procedimiento seguido para determinar la proyección </t>
  </si>
  <si>
    <r>
      <t xml:space="preserve">Proyección de acuerdo con el tipo de cambio  </t>
    </r>
    <r>
      <rPr>
        <sz val="11"/>
        <color theme="1"/>
        <rFont val="Montserrat Medium"/>
        <family val="3"/>
      </rPr>
      <t>(2020-2030 and 2030-2050)</t>
    </r>
  </si>
  <si>
    <t>tasa de cambio</t>
  </si>
  <si>
    <t>1. Los datos de los años 2015, 2020, 2030 y 2050 se obtuvieron de [3]</t>
  </si>
  <si>
    <t>1. Estos datos técnicos se calcularon con la ecuación de eficiencia de ida y vuelta (ver hoja LA). 2. En el capítulo de Introducción del Catálogo, se define la ecuación de Eficiencia de Ida y Vuelta.</t>
  </si>
  <si>
    <t>1. La tendencia de los datos para estos parámetros (en este caso constante) se identificó en la referencia [3] para baterías.
2. Se considera que estos parámetros no tendrán variación en el período 2020-2050 debido a su madurez tecnológica.</t>
  </si>
  <si>
    <t>1. Los datos para estos parámetros se identificaron en la referencia [5] para baterías, consulte la Tabla A4. Este valor está en moneda europea. La conversión de moneda a USD se realiza en un factor de 1,11.
2. No hay datos disponibles para estimar la tendencia. En consecuencia, los datos del año 2020 se repiten para 2030 y 2050.</t>
  </si>
  <si>
    <t>1. Los datos de 2020 en la hoja denominada "LA" son el promedio de varios autores (como se muestra [1], [3], [4], [7]).
2. Se considera que estos parámetros no tendrán variación en el período 2020-2050 debido a su madurez tecnológica.</t>
  </si>
  <si>
    <t>Pérdidas de energía durante el almacenamiento (% / día)</t>
  </si>
  <si>
    <t>Vida técnica (años)</t>
  </si>
  <si>
    <t>Componente de energía de la inversión especifica (MUSD/MWh)</t>
  </si>
  <si>
    <t>Costos Variables de Operación y Mantenimiento (USD2020/MWh)</t>
  </si>
  <si>
    <t>Costo de inversión alternativo (MUSD2020/ MW)</t>
  </si>
  <si>
    <t>Capacidad de carga por unidad (MW)</t>
  </si>
  <si>
    <t>Tiempo de respuesta desde inactivo hasta descarga nominal completa (seg)</t>
  </si>
  <si>
    <t>Inversión específica (MUSD2020 / MWh)</t>
  </si>
  <si>
    <t>Poder específico  (W/kg)</t>
  </si>
  <si>
    <t>Energía Especifica (Wh/kg)</t>
  </si>
  <si>
    <t>Densidad de Energía (kWh/m3)</t>
  </si>
  <si>
    <t>2020 (Incertidumbre)</t>
  </si>
  <si>
    <t>2030 (Incertidumbre)</t>
  </si>
  <si>
    <t>Tasa de cambio 2020</t>
  </si>
  <si>
    <t>Referencia</t>
  </si>
  <si>
    <t>Tasa de cambio 2030</t>
  </si>
  <si>
    <t>NOTA</t>
  </si>
  <si>
    <t>1. La incertidumbre se calcula con el comportamiento numérico similar de [1]</t>
  </si>
  <si>
    <t>1. La incertidumbre se calcula con el comportamiento numérico similar de [9]</t>
  </si>
  <si>
    <t>1. La incertidumbre para estos parámetros tiene el mismo comportamiento que [1] porque el diseño se basa en las mismas capacidades operativas del sistema de almacenamiento de energía.
2. Estos datos se interpretan dentro de la herramienta IRENA como "Capacidad de almacenamiento utilizable" y "Potencia de almacenamiento instalada".
3. La incertidumbre es de porcentaje cero porque el ácido de plomo es una tecnología de madurez.</t>
  </si>
  <si>
    <t>1. La incertidumbre para este parámetro tiene el mismo comportamiento que [1] porque el diseño se basa en las mismas capacidades operativas del sistema de almacenamiento de energía.
2. Estos datos se interpretan dentro de la herramienta IRENA como "Eficiencia de ida y vuelta".</t>
  </si>
  <si>
    <t>1. La incertidumbre para este parámetro tiene el mismo comportamiento que [1] porque el diseño se basa en las mismas capacidades operativas del sistema de almacenamiento de energía.
2. Estos datos se interpretan dentro de la herramienta IRENA como "Autodescarga".</t>
  </si>
  <si>
    <t>1. La incertidumbre para estos parámetros tiene el mismo comportamiento que [9] porque el diseño se basa en las mismas capacidades operativas del sistema de almacenamiento de energía.</t>
  </si>
  <si>
    <t>1. La incertidumbre para estos parámetros tiene el mismo comportamiento que [1] porque el diseño se basa en las mismas capacidades operativas del sistema de almacenamiento de energía.
2. Estos datos se interpretan dentro de la herramienta IRENA como "Coste de instalación de energía".</t>
  </si>
  <si>
    <t>1. La incertidumbre es la misma que [3], consulte la Tabla S4 sobre Información complementaria en esta referencia.</t>
  </si>
  <si>
    <t>1. La incertidumbre es la misma que [5], para mantener la coherencia entre los datos (consulte la Tabla A4 en esta referencia)</t>
  </si>
  <si>
    <t>1. La incertidumbre para estos parámetros tiene el mismo comportamiento que [1] porque el diseño se basa en las mismas capacidades operativas del sistema de almacenamiento de energía.
2. Estos datos se interpretan dentro de la herramienta IRENA como "Ciclo de vida".</t>
  </si>
  <si>
    <t>Reserva de Restauración de Frecuencia (2h)</t>
  </si>
  <si>
    <t>Incertidumbre (2020)</t>
  </si>
  <si>
    <r>
      <t>1. La tendencia de los datos para estos parámetros</t>
    </r>
    <r>
      <rPr>
        <b/>
        <sz val="9"/>
        <color theme="1"/>
        <rFont val="Montserrat Medium"/>
      </rPr>
      <t xml:space="preserve"> (en este caso constante)</t>
    </r>
    <r>
      <rPr>
        <sz val="9"/>
        <color theme="1"/>
        <rFont val="Montserrat Medium"/>
      </rPr>
      <t xml:space="preserve"> se identificó en la referencia [9] para baterías.
2. Se considera que estos parámetros no tendrán variación en el período 2020-2050 debido a su madurez tecnológica.</t>
    </r>
  </si>
  <si>
    <r>
      <t xml:space="preserve">1. La tendencia de los datos para estos parámetros </t>
    </r>
    <r>
      <rPr>
        <b/>
        <sz val="9"/>
        <color theme="1"/>
        <rFont val="Montserrat Medium"/>
      </rPr>
      <t>(en este caso constante)</t>
    </r>
    <r>
      <rPr>
        <sz val="9"/>
        <color theme="1"/>
        <rFont val="Montserrat Medium"/>
      </rPr>
      <t xml:space="preserve"> se identificó en la referencia [9] para baterías.
2. Se considera que estos parámetros no tendrán variación en el período 2020-2050 debido a su madurez tecnológica.</t>
    </r>
  </si>
  <si>
    <r>
      <t>1. La tendencia de los datos para estos parámetros (en este caso disminución exponencial) se identificó en la referencia [1] para baterías.
2. Los datos de los años 2016, 2020, 2025 y 2030 se obtuvieron de [1].
3. La proyección se estimó mediante una proyección exponencial. Ver solapa inferior llamada</t>
    </r>
    <r>
      <rPr>
        <b/>
        <sz val="9"/>
        <color theme="1"/>
        <rFont val="Montserrat Medium"/>
      </rPr>
      <t xml:space="preserve"> 17_EC.</t>
    </r>
  </si>
  <si>
    <r>
      <t xml:space="preserve">1. La tendencia de los datos para estos parámetros </t>
    </r>
    <r>
      <rPr>
        <b/>
        <sz val="9"/>
        <color theme="1"/>
        <rFont val="Montserrat Medium"/>
      </rPr>
      <t>(en este caso aumento exponencial)</t>
    </r>
    <r>
      <rPr>
        <sz val="9"/>
        <color theme="1"/>
        <rFont val="Montserrat Medium"/>
      </rPr>
      <t xml:space="preserve"> se identificó en la referencia [1] para baterías.
2. Los datos de los años 2016, 2020, 2025 y 2030 se obtuvieron de [1]
3. La proyección se estimó mediante una proyección exponencial. Ver solapa inferior llamada 22_LTN.</t>
    </r>
  </si>
  <si>
    <t>1. Estos datos técnicos se calcularon con la ecuación de eficiencia de ida y vuelta (ver hoja LA). 
2. En el capítulo de Introducción del Catálogo, se define la ecuación de Eficiencia de Ida y Vuelta.</t>
  </si>
  <si>
    <t>1. No hay datos disponibles. 
2. Se supone que no es necesaria una interrupción forzada debido al nivel de madurez de la tecnología.</t>
  </si>
  <si>
    <t>1. Los datos de este parámetro se calcularon con una ecuación de Inversión Específica (ver hoja LA).
2. En el capítulo de Introducción del Catálogo, se define la ecuación de Inversión Específica.</t>
  </si>
  <si>
    <t>1. Los datos de los años 2016, 2020, 2025 y 2030 se muestran en estas hojas de [1]. 
2. Los valores de [1] sin incluir la conexión a la red son, por tanto, muy bajos. 
3. Los datos seleccionados para 2020 son tipos de datos puntuales de [3]. 4. Las proyecciones tienen un comportamiento numérico similar a [1] con el valor de [3]</t>
  </si>
  <si>
    <t>1. Estos datos se calcularon con una ecuación de costo de inversión alternativo (ver hoja LA).
2. En el capítulo de Introducción del Catálogo, se define la ecuación de Costo de Inversión Alternativa.</t>
  </si>
  <si>
    <t>1. Estos datos técnicos se calcularon con una ecuación de potencia específica (ver hoja LA). 
2. En el capítulo de Introducción del Catálogo, se define la ecuación de Poder Específico.</t>
  </si>
  <si>
    <t>1. Estos datos técnicos se calcularon con una ecuación de densidad de potencia (ver hoja LA). 
2. En el capítulo de Introducción del Catálogo, se define la ecuación de Densidad de Potencia.</t>
  </si>
  <si>
    <t>1. Los datos de los años 2020 y 2030 se obtuvieron de [9].
2. La proyección se estimó mediante una proyección exponencial. Ver solapa inferior llamada 25_SE. 
3. Los datos seleccionados para 2020 son tipos de datos puntuales de [8]. 
4. Las proyecciones tienen un comportamiento numérico similar a [9] con el valor de [8]</t>
  </si>
  <si>
    <t>1. Los datos de los años 2020 y 2030 se obtuvieron de [9].
2. La proyección se estimó mediante una proyección lineal. Vea la solapa inferior llamada 26_ED.
3. Los datos seleccionados para 2020 son tipos de datos puntuales de [8]. 
4. Las proyecciones tienen un comportamiento numérico similar a [9] con el valor de [8]</t>
  </si>
  <si>
    <r>
      <t xml:space="preserve">Zakeri, B., &amp; Syri, S. (2015). Electrical energy storage systems: A comparative life cycle cost analysis. </t>
    </r>
    <r>
      <rPr>
        <i/>
        <sz val="9"/>
        <color theme="1"/>
        <rFont val="Montserrat Medium"/>
      </rPr>
      <t>Renewable and Sustainable Energy Reviews</t>
    </r>
    <r>
      <rPr>
        <sz val="9"/>
        <color theme="1"/>
        <rFont val="Montserrat Medium"/>
      </rPr>
      <t xml:space="preserve">, </t>
    </r>
    <r>
      <rPr>
        <i/>
        <sz val="9"/>
        <color theme="1"/>
        <rFont val="Montserrat Medium"/>
      </rPr>
      <t>42</t>
    </r>
    <r>
      <rPr>
        <sz val="9"/>
        <color theme="1"/>
        <rFont val="Montserrat Medium"/>
      </rPr>
      <t>, 569–596. https://doi.org/10.1016/j.rser.2014.10.011</t>
    </r>
  </si>
  <si>
    <r>
      <t xml:space="preserve">1. La incertidumbre es la misma que [3], consulte la </t>
    </r>
    <r>
      <rPr>
        <b/>
        <sz val="9"/>
        <color theme="1"/>
        <rFont val="Montserrat Medium"/>
      </rPr>
      <t>Tabla S4</t>
    </r>
    <r>
      <rPr>
        <sz val="9"/>
        <color theme="1"/>
        <rFont val="Montserrat Medium"/>
      </rPr>
      <t xml:space="preserve"> sobre Información complementaria en esta referencia.</t>
    </r>
  </si>
  <si>
    <r>
      <t xml:space="preserve">Technical Lifetime </t>
    </r>
    <r>
      <rPr>
        <sz val="8"/>
        <color theme="1"/>
        <rFont val="Montserrat Medium"/>
      </rPr>
      <t>(years)</t>
    </r>
  </si>
  <si>
    <t>1. La incertidumbre no está disponible para estos parámetros, por lo que se repitieron los datos de 2020 y 2030. 
2. Se considera que estos parámetros no tendrán variación en el período 2020-2050 debido a su madurez tecnológica.</t>
  </si>
  <si>
    <t>1. Estos datos técnicos se calcularon con una ecuación de densidad de potencia (ver hoja LA).
2. En el capítulo de Introducción del Catálogo, se define la ecuación de Densidad de Potencia.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</si>
</sst>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0.0"/>
    <numFmt numFmtId="165" formatCode="0.000"/>
    <numFmt numFmtId="166" formatCode="_ * #,##0.00_ ;_ * \-#,##0.00_ ;_ * &quot;-&quot;??_ ;_ @_ "/>
    <numFmt numFmtId="167" formatCode="0.0000"/>
  </numFmts>
  <fonts count="50">
    <font>
      <sz val="11"/>
      <color theme="1"/>
      <name val="Calibri"/>
      <family val="2"/>
      <scheme val="minor"/>
    </font>
    <font>
      <sz val="11"/>
      <color theme="1"/>
      <name val="Calibri"/>
      <family val="2"/>
      <scheme val="minor"/>
    </font>
    <font>
      <u/>
      <sz val="10"/>
      <color indexed="12"/>
      <name val="Arial"/>
      <family val="2"/>
    </font>
    <font>
      <sz val="10"/>
      <name val="Helv"/>
    </font>
    <font>
      <u/>
      <sz val="11"/>
      <color theme="10"/>
      <name val="Calibri"/>
      <family val="2"/>
      <scheme val="minor"/>
    </font>
    <font>
      <sz val="11"/>
      <color indexed="62"/>
      <name val="Calibri"/>
      <family val="2"/>
    </font>
    <font>
      <sz val="11"/>
      <color indexed="60"/>
      <name val="Calibri"/>
      <family val="2"/>
    </font>
    <font>
      <sz val="10"/>
      <name val="Arial"/>
      <family val="2"/>
    </font>
    <font>
      <b/>
      <sz val="11"/>
      <color indexed="63"/>
      <name val="Calibri"/>
      <family val="2"/>
    </font>
    <font>
      <b/>
      <sz val="11"/>
      <color indexed="8"/>
      <name val="Calibri"/>
      <family val="2"/>
    </font>
    <font>
      <sz val="9"/>
      <color indexed="81"/>
      <name val="Tahoma"/>
      <family val="2"/>
    </font>
    <font>
      <b/>
      <sz val="9"/>
      <color indexed="81"/>
      <name val="Tahoma"/>
      <family val="2"/>
    </font>
    <font>
      <sz val="11"/>
      <color theme="1"/>
      <name val="Montserrat Medium"/>
      <family val="3"/>
    </font>
    <font>
      <b/>
      <sz val="8"/>
      <color theme="1"/>
      <name val="Montserrat Medium"/>
      <family val="3"/>
    </font>
    <font>
      <b/>
      <sz val="7"/>
      <color theme="1"/>
      <name val="Montserrat Medium"/>
      <family val="3"/>
    </font>
    <font>
      <sz val="8"/>
      <color theme="1"/>
      <name val="Montserrat Medium"/>
      <family val="3"/>
    </font>
    <font>
      <sz val="9"/>
      <color theme="1"/>
      <name val="Montserrat Medium"/>
      <family val="3"/>
    </font>
    <font>
      <sz val="7"/>
      <color theme="1"/>
      <name val="Montserrat Medium"/>
      <family val="3"/>
    </font>
    <font>
      <u/>
      <sz val="10"/>
      <color indexed="12"/>
      <name val="Montserrat Medium"/>
      <family val="3"/>
    </font>
    <font>
      <b/>
      <sz val="14"/>
      <color rgb="FF00707D"/>
      <name val="Montserrat Medium"/>
      <family val="3"/>
    </font>
    <font>
      <b/>
      <sz val="10"/>
      <name val="Montserrat Medium"/>
      <family val="3"/>
    </font>
    <font>
      <sz val="10"/>
      <color theme="1"/>
      <name val="Montserrat Medium"/>
      <family val="3"/>
    </font>
    <font>
      <sz val="10"/>
      <color rgb="FF000000"/>
      <name val="Montserrat Medium"/>
      <family val="3"/>
    </font>
    <font>
      <i/>
      <sz val="10"/>
      <color theme="1"/>
      <name val="Montserrat Medium"/>
      <family val="3"/>
    </font>
    <font>
      <sz val="11"/>
      <color theme="1"/>
      <name val="Montserrat Alternates Medium"/>
      <family val="3"/>
    </font>
    <font>
      <b/>
      <sz val="11"/>
      <color theme="1"/>
      <name val="Montserrat Alternates Medium"/>
      <family val="3"/>
    </font>
    <font>
      <b/>
      <sz val="8"/>
      <color theme="1"/>
      <name val="Montserrat Alternates Medium"/>
      <family val="3"/>
    </font>
    <font>
      <sz val="8"/>
      <color theme="1"/>
      <name val="Montserrat Alternates Medium"/>
      <family val="3"/>
    </font>
    <font>
      <i/>
      <sz val="8"/>
      <color theme="1"/>
      <name val="Montserrat Alternates Medium"/>
      <family val="3"/>
    </font>
    <font>
      <sz val="10"/>
      <color theme="1"/>
      <name val="Montserrat Alternates Medium"/>
      <family val="3"/>
    </font>
    <font>
      <b/>
      <sz val="11"/>
      <color theme="1"/>
      <name val="Montserrat Medium"/>
      <family val="3"/>
    </font>
    <font>
      <sz val="8"/>
      <color theme="1"/>
      <name val="Montserrat Medium"/>
    </font>
    <font>
      <sz val="9"/>
      <color theme="1"/>
      <name val="Montserrat Medium"/>
    </font>
    <font>
      <b/>
      <sz val="11"/>
      <color theme="1"/>
      <name val="Montserrat Medium"/>
    </font>
    <font>
      <b/>
      <sz val="9"/>
      <color theme="1"/>
      <name val="Montserrat Medium"/>
      <family val="3"/>
    </font>
    <font>
      <sz val="9"/>
      <color rgb="FF000000"/>
      <name val="Montserrat Medium"/>
      <family val="3"/>
    </font>
    <font>
      <sz val="9"/>
      <name val="Montserrat Medium"/>
      <family val="3"/>
    </font>
    <font>
      <i/>
      <sz val="9"/>
      <color theme="1"/>
      <name val="Montserrat Medium"/>
      <family val="3"/>
    </font>
    <font>
      <sz val="10"/>
      <color theme="1"/>
      <name val="Montserrat Medium"/>
    </font>
    <font>
      <i/>
      <sz val="10"/>
      <color theme="1"/>
      <name val="Montserrat Medium"/>
    </font>
    <font>
      <b/>
      <sz val="10"/>
      <color theme="1"/>
      <name val="Montserrat Medium"/>
    </font>
    <font>
      <sz val="10"/>
      <color theme="1"/>
      <name val="Montserrat Light"/>
    </font>
    <font>
      <b/>
      <sz val="8"/>
      <color theme="1"/>
      <name val="Montserrat Medium"/>
    </font>
    <font>
      <b/>
      <sz val="10"/>
      <color theme="1"/>
      <name val="Montserrat Medium"/>
      <family val="3"/>
    </font>
    <font>
      <b/>
      <sz val="9"/>
      <color theme="1"/>
      <name val="Montserrat Medium"/>
    </font>
    <font>
      <sz val="11"/>
      <color theme="1"/>
      <name val="Montserrat Medium"/>
    </font>
    <font>
      <b/>
      <sz val="9"/>
      <name val="Montserrat Medium"/>
    </font>
    <font>
      <sz val="9"/>
      <color rgb="FF000000"/>
      <name val="Montserrat Medium"/>
    </font>
    <font>
      <i/>
      <sz val="9"/>
      <color theme="1"/>
      <name val="Montserrat Medium"/>
    </font>
    <font>
      <u/>
      <sz val="9"/>
      <color indexed="12"/>
      <name val="Montserrat Medium"/>
    </font>
  </fonts>
  <fills count="5">
    <fill>
      <patternFill patternType="none"/>
    </fill>
    <fill>
      <patternFill patternType="gray125"/>
    </fill>
    <fill>
      <patternFill patternType="solid">
        <fgColor indexed="47"/>
      </patternFill>
    </fill>
    <fill>
      <patternFill patternType="solid">
        <fgColor indexed="43"/>
      </patternFill>
    </fill>
    <fill>
      <patternFill patternType="solid">
        <fgColor indexed="22"/>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bottom/>
      <diagonal/>
    </border>
    <border>
      <left/>
      <right style="thin">
        <color indexed="64"/>
      </right>
      <top/>
      <bottom/>
      <diagonal/>
    </border>
  </borders>
  <cellStyleXfs count="25">
    <xf numFmtId="0" fontId="0" fillId="0" borderId="0"/>
    <xf numFmtId="0" fontId="1" fillId="0" borderId="0" applyFill="0" applyBorder="0" applyProtection="0"/>
    <xf numFmtId="0" fontId="2" fillId="0" borderId="0" applyNumberFormat="0" applyFill="0" applyBorder="0" applyAlignment="0" applyProtection="0">
      <alignment vertical="top"/>
      <protection locked="0"/>
    </xf>
    <xf numFmtId="43" fontId="1" fillId="0" borderId="0" applyFont="0" applyFill="0" applyBorder="0" applyAlignment="0" applyProtection="0"/>
    <xf numFmtId="166" fontId="1" fillId="0" borderId="0" applyFont="0" applyFill="0" applyBorder="0" applyAlignment="0" applyProtection="0"/>
    <xf numFmtId="0" fontId="3" fillId="0" borderId="0"/>
    <xf numFmtId="0" fontId="3" fillId="0" borderId="0"/>
    <xf numFmtId="0" fontId="2" fillId="0" borderId="0" applyNumberFormat="0" applyFill="0" applyBorder="0" applyAlignment="0" applyProtection="0">
      <alignment vertical="top"/>
      <protection locked="0"/>
    </xf>
    <xf numFmtId="0" fontId="4" fillId="0" borderId="0" applyNumberFormat="0" applyFill="0" applyBorder="0" applyAlignment="0" applyProtection="0"/>
    <xf numFmtId="0" fontId="5" fillId="2" borderId="5" applyNumberFormat="0" applyAlignment="0" applyProtection="0"/>
    <xf numFmtId="43" fontId="1" fillId="0" borderId="0" applyFont="0" applyFill="0" applyBorder="0" applyAlignment="0" applyProtection="0"/>
    <xf numFmtId="166" fontId="3" fillId="0" borderId="0" applyFont="0" applyFill="0" applyBorder="0" applyAlignment="0" applyProtection="0"/>
    <xf numFmtId="0" fontId="4" fillId="0" borderId="0" applyNumberFormat="0" applyFill="0" applyBorder="0" applyAlignment="0" applyProtection="0"/>
    <xf numFmtId="0" fontId="6" fillId="3" borderId="0" applyNumberFormat="0" applyBorder="0" applyAlignment="0" applyProtection="0"/>
    <xf numFmtId="0" fontId="7" fillId="0" borderId="0"/>
    <xf numFmtId="0" fontId="1" fillId="0" borderId="0"/>
    <xf numFmtId="0" fontId="7" fillId="0" borderId="0"/>
    <xf numFmtId="0" fontId="7" fillId="0" borderId="0"/>
    <xf numFmtId="0" fontId="8" fillId="4" borderId="6" applyNumberFormat="0" applyAlignment="0" applyProtection="0"/>
    <xf numFmtId="0" fontId="3" fillId="0" borderId="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0" fontId="9" fillId="0" borderId="7" applyNumberFormat="0" applyFill="0" applyAlignment="0" applyProtection="0"/>
    <xf numFmtId="9" fontId="1" fillId="0" borderId="0" applyFont="0" applyFill="0" applyBorder="0" applyAlignment="0" applyProtection="0"/>
  </cellStyleXfs>
  <cellXfs count="172">
    <xf numFmtId="0" fontId="0" fillId="0" borderId="0" xfId="0"/>
    <xf numFmtId="0" fontId="12" fillId="0" borderId="0" xfId="1" applyFont="1"/>
    <xf numFmtId="0" fontId="12" fillId="0" borderId="0" xfId="1" applyFont="1" applyFill="1"/>
    <xf numFmtId="0" fontId="16" fillId="0" borderId="0" xfId="1" applyFont="1" applyFill="1" applyAlignment="1">
      <alignment vertical="center"/>
    </xf>
    <xf numFmtId="0" fontId="12" fillId="0" borderId="0" xfId="1" applyFont="1" applyFill="1" applyAlignment="1">
      <alignment vertical="center"/>
    </xf>
    <xf numFmtId="1" fontId="15" fillId="0" borderId="1" xfId="1" applyNumberFormat="1" applyFont="1" applyFill="1" applyBorder="1" applyAlignment="1">
      <alignment horizontal="center" vertical="center" wrapText="1"/>
    </xf>
    <xf numFmtId="0" fontId="17" fillId="0" borderId="0" xfId="1" applyFont="1" applyFill="1" applyAlignment="1">
      <alignment horizontal="center" vertical="center" wrapText="1"/>
    </xf>
    <xf numFmtId="0" fontId="17" fillId="0" borderId="0" xfId="1" applyFont="1" applyFill="1" applyAlignment="1">
      <alignment horizontal="justify" vertical="center" wrapText="1"/>
    </xf>
    <xf numFmtId="0" fontId="12" fillId="0" borderId="0" xfId="1" applyFont="1" applyAlignment="1">
      <alignment horizontal="left" vertical="center"/>
    </xf>
    <xf numFmtId="0" fontId="12" fillId="0" borderId="0" xfId="1" applyFont="1" applyFill="1" applyAlignment="1">
      <alignment horizontal="left" vertical="center"/>
    </xf>
    <xf numFmtId="0" fontId="16" fillId="0" borderId="0" xfId="1" applyFont="1" applyFill="1" applyAlignment="1">
      <alignment horizontal="justify" vertical="center" wrapText="1"/>
    </xf>
    <xf numFmtId="0" fontId="17" fillId="0" borderId="0" xfId="1" applyFont="1" applyFill="1" applyAlignment="1">
      <alignment vertical="center" wrapText="1"/>
    </xf>
    <xf numFmtId="0" fontId="17" fillId="0" borderId="0" xfId="1" applyFont="1" applyAlignment="1">
      <alignment horizontal="center" vertical="center" wrapText="1"/>
    </xf>
    <xf numFmtId="0" fontId="17" fillId="0" borderId="0" xfId="1" applyFont="1" applyAlignment="1">
      <alignment horizontal="justify" vertical="center" wrapText="1"/>
    </xf>
    <xf numFmtId="0" fontId="16" fillId="0" borderId="0" xfId="1" applyFont="1" applyAlignment="1">
      <alignment vertical="center" wrapText="1"/>
    </xf>
    <xf numFmtId="0" fontId="12" fillId="0" borderId="0" xfId="1" applyFont="1" applyAlignment="1">
      <alignment horizontal="center" vertical="center"/>
    </xf>
    <xf numFmtId="0" fontId="12" fillId="0" borderId="0" xfId="1" applyFont="1" applyAlignment="1">
      <alignment horizontal="justify" vertical="center"/>
    </xf>
    <xf numFmtId="0" fontId="19" fillId="0" borderId="0" xfId="1" applyFont="1" applyAlignment="1">
      <alignment horizontal="left" vertical="center"/>
    </xf>
    <xf numFmtId="0" fontId="18" fillId="0" borderId="0" xfId="2" applyFont="1" applyFill="1" applyAlignment="1" applyProtection="1"/>
    <xf numFmtId="0" fontId="21" fillId="0" borderId="0" xfId="1" applyFont="1" applyFill="1"/>
    <xf numFmtId="0" fontId="21" fillId="0" borderId="0" xfId="1" applyFont="1" applyFill="1" applyAlignment="1">
      <alignment horizontal="center" vertical="center" wrapText="1"/>
    </xf>
    <xf numFmtId="0" fontId="21" fillId="0" borderId="0" xfId="1" applyFont="1" applyFill="1" applyAlignment="1">
      <alignment horizontal="right" vertical="center" wrapText="1"/>
    </xf>
    <xf numFmtId="0" fontId="21" fillId="0" borderId="0" xfId="1" applyFont="1" applyFill="1" applyAlignment="1">
      <alignment horizontal="justify" vertical="center" wrapText="1"/>
    </xf>
    <xf numFmtId="0" fontId="21" fillId="0" borderId="0" xfId="15" applyFont="1" applyFill="1"/>
    <xf numFmtId="0" fontId="21" fillId="0" borderId="0" xfId="1" applyFont="1" applyFill="1" applyAlignment="1">
      <alignment vertical="center" wrapText="1"/>
    </xf>
    <xf numFmtId="0" fontId="21" fillId="0" borderId="0" xfId="1" applyFont="1" applyFill="1" applyAlignment="1">
      <alignment horizontal="left" vertical="center"/>
    </xf>
    <xf numFmtId="0" fontId="22" fillId="0" borderId="0" xfId="0" applyFont="1" applyFill="1" applyBorder="1" applyAlignment="1">
      <alignment horizontal="right"/>
    </xf>
    <xf numFmtId="0" fontId="22" fillId="0" borderId="0" xfId="0" applyFont="1" applyFill="1" applyBorder="1" applyAlignment="1"/>
    <xf numFmtId="0" fontId="24" fillId="0" borderId="0" xfId="0" applyFont="1"/>
    <xf numFmtId="0" fontId="24" fillId="0" borderId="0" xfId="0" applyFont="1" applyAlignment="1">
      <alignment horizontal="left"/>
    </xf>
    <xf numFmtId="0" fontId="24" fillId="0" borderId="1" xfId="0" applyFont="1" applyBorder="1" applyAlignment="1">
      <alignment horizontal="left" vertical="center"/>
    </xf>
    <xf numFmtId="0" fontId="26" fillId="0" borderId="1" xfId="0" applyFont="1" applyBorder="1" applyAlignment="1">
      <alignment horizontal="left" vertical="center" wrapText="1"/>
    </xf>
    <xf numFmtId="0" fontId="24" fillId="0" borderId="1" xfId="0" applyFont="1" applyBorder="1" applyAlignment="1">
      <alignment horizontal="left"/>
    </xf>
    <xf numFmtId="0" fontId="29" fillId="0" borderId="0" xfId="0" applyFont="1" applyFill="1"/>
    <xf numFmtId="0" fontId="21" fillId="0" borderId="0" xfId="0" applyFont="1" applyFill="1"/>
    <xf numFmtId="0" fontId="21" fillId="0" borderId="0" xfId="0" applyFont="1" applyFill="1" applyAlignment="1">
      <alignment horizontal="left" vertical="top"/>
    </xf>
    <xf numFmtId="0" fontId="12" fillId="0" borderId="0" xfId="1" applyFont="1" applyAlignment="1">
      <alignment horizontal="right" vertical="center"/>
    </xf>
    <xf numFmtId="0" fontId="12" fillId="0" borderId="0" xfId="0" applyFont="1" applyFill="1" applyAlignment="1">
      <alignment horizontal="left"/>
    </xf>
    <xf numFmtId="0" fontId="12" fillId="0" borderId="0" xfId="0" applyFont="1" applyFill="1"/>
    <xf numFmtId="0" fontId="30" fillId="0" borderId="0" xfId="0" applyFont="1" applyFill="1" applyAlignment="1">
      <alignment horizontal="center" vertical="center" wrapText="1"/>
    </xf>
    <xf numFmtId="0" fontId="30" fillId="0" borderId="0" xfId="0" applyFont="1" applyFill="1" applyAlignment="1">
      <alignment vertical="center" wrapText="1"/>
    </xf>
    <xf numFmtId="0" fontId="30" fillId="0" borderId="0" xfId="0" applyFont="1" applyFill="1" applyAlignment="1">
      <alignment horizontal="left" vertical="center" wrapText="1"/>
    </xf>
    <xf numFmtId="0" fontId="12" fillId="0" borderId="0" xfId="0" applyFont="1" applyFill="1" applyAlignment="1">
      <alignment horizontal="center" vertical="center" wrapText="1"/>
    </xf>
    <xf numFmtId="0" fontId="30" fillId="0" borderId="0" xfId="0" applyFont="1" applyFill="1" applyAlignment="1">
      <alignment horizontal="center"/>
    </xf>
    <xf numFmtId="0" fontId="13" fillId="0" borderId="0" xfId="0" applyFont="1" applyFill="1" applyAlignment="1">
      <alignment horizontal="left" vertical="center" wrapText="1"/>
    </xf>
    <xf numFmtId="0" fontId="13" fillId="0" borderId="0" xfId="0" applyFont="1" applyFill="1" applyAlignment="1">
      <alignment horizontal="center" vertical="center" wrapText="1"/>
    </xf>
    <xf numFmtId="0" fontId="15" fillId="0" borderId="8" xfId="0" applyFont="1" applyFill="1" applyBorder="1" applyAlignment="1">
      <alignment vertical="center" wrapText="1"/>
    </xf>
    <xf numFmtId="0" fontId="15" fillId="0" borderId="0" xfId="0" applyFont="1" applyFill="1" applyAlignment="1">
      <alignment vertical="center" wrapText="1"/>
    </xf>
    <xf numFmtId="0" fontId="12" fillId="0" borderId="0" xfId="0" applyFont="1" applyFill="1" applyAlignment="1">
      <alignment horizontal="center" vertical="center"/>
    </xf>
    <xf numFmtId="0" fontId="12" fillId="0" borderId="0" xfId="0" applyNumberFormat="1" applyFont="1" applyFill="1" applyAlignment="1">
      <alignment horizontal="center" vertical="center" wrapText="1"/>
    </xf>
    <xf numFmtId="1" fontId="12" fillId="0" borderId="0" xfId="0" applyNumberFormat="1" applyFont="1" applyFill="1" applyAlignment="1">
      <alignment horizontal="center" vertical="center" wrapText="1"/>
    </xf>
    <xf numFmtId="0" fontId="15" fillId="0" borderId="0" xfId="0" applyFont="1" applyFill="1" applyAlignment="1">
      <alignment horizontal="center" vertical="center" wrapText="1"/>
    </xf>
    <xf numFmtId="2" fontId="12" fillId="0" borderId="0" xfId="0" applyNumberFormat="1" applyFont="1" applyFill="1" applyAlignment="1">
      <alignment horizontal="center" vertical="center" wrapText="1"/>
    </xf>
    <xf numFmtId="164" fontId="12" fillId="0" borderId="0" xfId="0" applyNumberFormat="1" applyFont="1" applyFill="1" applyAlignment="1">
      <alignment horizontal="center" vertical="center" wrapText="1"/>
    </xf>
    <xf numFmtId="0" fontId="15" fillId="0" borderId="0" xfId="0" applyFont="1" applyFill="1" applyAlignment="1">
      <alignment horizontal="left" vertical="top" wrapText="1"/>
    </xf>
    <xf numFmtId="165" fontId="12" fillId="0" borderId="0" xfId="0" applyNumberFormat="1" applyFont="1" applyFill="1" applyAlignment="1">
      <alignment horizontal="center" vertical="center" wrapText="1"/>
    </xf>
    <xf numFmtId="165" fontId="12" fillId="0" borderId="0" xfId="24" applyNumberFormat="1" applyFont="1" applyFill="1" applyAlignment="1">
      <alignment horizontal="center" vertical="center" wrapText="1"/>
    </xf>
    <xf numFmtId="165" fontId="12" fillId="0" borderId="0" xfId="0" applyNumberFormat="1" applyFont="1" applyFill="1" applyAlignment="1">
      <alignment horizontal="center" vertical="center"/>
    </xf>
    <xf numFmtId="167" fontId="12" fillId="0" borderId="0" xfId="24" applyNumberFormat="1" applyFont="1" applyFill="1" applyAlignment="1">
      <alignment horizontal="center" vertical="center" wrapText="1"/>
    </xf>
    <xf numFmtId="167" fontId="12" fillId="0" borderId="0" xfId="0" applyNumberFormat="1" applyFont="1" applyFill="1" applyAlignment="1">
      <alignment horizontal="center" vertical="center" wrapText="1"/>
    </xf>
    <xf numFmtId="1" fontId="30" fillId="0" borderId="0" xfId="0" applyNumberFormat="1" applyFont="1" applyFill="1" applyAlignment="1">
      <alignment horizontal="center" vertical="center"/>
    </xf>
    <xf numFmtId="2" fontId="12" fillId="0" borderId="0" xfId="24" applyNumberFormat="1" applyFont="1" applyFill="1" applyAlignment="1">
      <alignment horizontal="center" vertical="center" wrapText="1"/>
    </xf>
    <xf numFmtId="3" fontId="12" fillId="0" borderId="0" xfId="0" applyNumberFormat="1" applyFont="1" applyFill="1" applyAlignment="1">
      <alignment horizontal="center" vertical="center" wrapText="1"/>
    </xf>
    <xf numFmtId="3" fontId="12" fillId="0" borderId="0" xfId="0" applyNumberFormat="1" applyFont="1" applyFill="1" applyAlignment="1">
      <alignment horizontal="center" vertical="center"/>
    </xf>
    <xf numFmtId="0" fontId="12" fillId="0" borderId="0" xfId="0" applyFont="1" applyFill="1" applyAlignment="1">
      <alignment horizontal="left" vertical="top"/>
    </xf>
    <xf numFmtId="0" fontId="12" fillId="0" borderId="0" xfId="0" applyFont="1" applyFill="1" applyAlignment="1">
      <alignment horizontal="right"/>
    </xf>
    <xf numFmtId="2" fontId="21" fillId="0" borderId="8" xfId="0" applyNumberFormat="1" applyFont="1" applyFill="1" applyBorder="1" applyAlignment="1">
      <alignment vertical="center" wrapText="1"/>
    </xf>
    <xf numFmtId="2" fontId="21" fillId="0" borderId="0" xfId="0" applyNumberFormat="1" applyFont="1" applyFill="1" applyAlignment="1">
      <alignment vertical="center" wrapText="1"/>
    </xf>
    <xf numFmtId="0" fontId="21" fillId="0" borderId="8" xfId="0" applyFont="1" applyFill="1" applyBorder="1" applyAlignment="1">
      <alignment vertical="center" wrapText="1"/>
    </xf>
    <xf numFmtId="0" fontId="21" fillId="0" borderId="0" xfId="0" applyFont="1" applyFill="1" applyAlignment="1">
      <alignment vertical="center" wrapText="1"/>
    </xf>
    <xf numFmtId="0" fontId="12" fillId="0" borderId="8" xfId="0" applyFont="1" applyFill="1" applyBorder="1" applyAlignment="1">
      <alignment vertical="center" wrapText="1"/>
    </xf>
    <xf numFmtId="0" fontId="12" fillId="0" borderId="0" xfId="0" applyFont="1" applyFill="1" applyAlignment="1">
      <alignment vertical="center" wrapText="1"/>
    </xf>
    <xf numFmtId="0" fontId="16" fillId="0" borderId="0" xfId="0" applyFont="1" applyFill="1" applyAlignment="1">
      <alignment vertical="center" wrapText="1"/>
    </xf>
    <xf numFmtId="165" fontId="30" fillId="0" borderId="0" xfId="0" applyNumberFormat="1" applyFont="1" applyFill="1" applyAlignment="1">
      <alignment vertical="center" wrapText="1"/>
    </xf>
    <xf numFmtId="2" fontId="12" fillId="0" borderId="0" xfId="0" applyNumberFormat="1" applyFont="1" applyFill="1" applyAlignment="1">
      <alignment vertical="center" wrapText="1"/>
    </xf>
    <xf numFmtId="2" fontId="15" fillId="0" borderId="0" xfId="0" applyNumberFormat="1" applyFont="1" applyFill="1" applyAlignment="1">
      <alignment vertical="center" wrapText="1"/>
    </xf>
    <xf numFmtId="0" fontId="24" fillId="0" borderId="0" xfId="0" applyFont="1" applyFill="1"/>
    <xf numFmtId="0" fontId="24" fillId="0" borderId="0" xfId="0" applyFont="1" applyFill="1" applyAlignment="1"/>
    <xf numFmtId="0" fontId="25" fillId="0" borderId="0" xfId="0" applyFont="1" applyFill="1" applyAlignment="1">
      <alignment vertical="top" wrapText="1"/>
    </xf>
    <xf numFmtId="0" fontId="24" fillId="0" borderId="0" xfId="0" applyFont="1" applyFill="1" applyAlignment="1">
      <alignment vertical="center" wrapText="1"/>
    </xf>
    <xf numFmtId="0" fontId="24" fillId="0" borderId="0" xfId="0" applyFont="1" applyFill="1" applyAlignment="1">
      <alignment vertical="center"/>
    </xf>
    <xf numFmtId="0" fontId="24" fillId="0" borderId="0" xfId="0" applyFont="1" applyFill="1" applyBorder="1" applyAlignment="1">
      <alignment vertical="center"/>
    </xf>
    <xf numFmtId="0" fontId="24" fillId="0" borderId="0" xfId="0" applyFont="1" applyFill="1" applyBorder="1" applyAlignment="1">
      <alignment vertical="center" wrapText="1"/>
    </xf>
    <xf numFmtId="0" fontId="25" fillId="0" borderId="0" xfId="0" applyFont="1" applyFill="1" applyBorder="1" applyAlignment="1">
      <alignment vertical="center" wrapText="1"/>
    </xf>
    <xf numFmtId="0" fontId="25" fillId="0" borderId="0" xfId="0" applyFont="1" applyFill="1" applyBorder="1" applyAlignment="1">
      <alignment vertical="top" wrapText="1"/>
    </xf>
    <xf numFmtId="0" fontId="25" fillId="0" borderId="0" xfId="0" applyFont="1" applyFill="1" applyBorder="1" applyAlignment="1">
      <alignment horizontal="left" vertical="top" wrapText="1"/>
    </xf>
    <xf numFmtId="0" fontId="24" fillId="0" borderId="0" xfId="0" applyFont="1" applyFill="1" applyBorder="1"/>
    <xf numFmtId="0" fontId="34" fillId="0" borderId="1" xfId="1" applyFont="1" applyFill="1" applyBorder="1" applyAlignment="1">
      <alignment horizontal="left" vertical="center" wrapText="1"/>
    </xf>
    <xf numFmtId="0" fontId="16" fillId="0" borderId="1" xfId="1" applyFont="1" applyFill="1" applyBorder="1" applyAlignment="1">
      <alignment horizontal="center" vertical="center" wrapText="1"/>
    </xf>
    <xf numFmtId="0" fontId="34" fillId="0" borderId="1" xfId="1" applyFont="1" applyFill="1" applyBorder="1" applyAlignment="1">
      <alignment horizontal="center" vertical="center" wrapText="1"/>
    </xf>
    <xf numFmtId="0" fontId="16" fillId="0" borderId="1" xfId="1" applyFont="1" applyFill="1" applyBorder="1" applyAlignment="1">
      <alignment horizontal="left" vertical="center" wrapText="1"/>
    </xf>
    <xf numFmtId="1" fontId="16" fillId="0" borderId="1" xfId="1" applyNumberFormat="1" applyFont="1" applyFill="1" applyBorder="1" applyAlignment="1">
      <alignment horizontal="center" vertical="center" wrapText="1"/>
    </xf>
    <xf numFmtId="0" fontId="36" fillId="0" borderId="1" xfId="1" applyFont="1" applyFill="1" applyBorder="1" applyAlignment="1">
      <alignment horizontal="center" vertical="center" wrapText="1"/>
    </xf>
    <xf numFmtId="0" fontId="37" fillId="0" borderId="1" xfId="1" applyFont="1" applyFill="1" applyBorder="1" applyAlignment="1">
      <alignment horizontal="left" vertical="center" wrapText="1"/>
    </xf>
    <xf numFmtId="0" fontId="35" fillId="0" borderId="1" xfId="1" applyFont="1" applyFill="1" applyBorder="1" applyAlignment="1">
      <alignment horizontal="left" vertical="center" wrapText="1"/>
    </xf>
    <xf numFmtId="165" fontId="35" fillId="0" borderId="1" xfId="1" applyNumberFormat="1" applyFont="1" applyFill="1" applyBorder="1" applyAlignment="1">
      <alignment horizontal="center" vertical="center" wrapText="1"/>
    </xf>
    <xf numFmtId="165" fontId="16" fillId="0" borderId="1" xfId="1" applyNumberFormat="1" applyFont="1" applyFill="1" applyBorder="1" applyAlignment="1">
      <alignment horizontal="center" vertical="center" wrapText="1"/>
    </xf>
    <xf numFmtId="0" fontId="35" fillId="0" borderId="1" xfId="1" applyFont="1" applyFill="1" applyBorder="1" applyAlignment="1">
      <alignment horizontal="center" vertical="center" wrapText="1"/>
    </xf>
    <xf numFmtId="2" fontId="35" fillId="0" borderId="1" xfId="1" applyNumberFormat="1" applyFont="1" applyFill="1" applyBorder="1" applyAlignment="1">
      <alignment horizontal="center" vertical="center" wrapText="1"/>
    </xf>
    <xf numFmtId="0" fontId="12" fillId="0" borderId="0" xfId="0" applyFont="1" applyFill="1"/>
    <xf numFmtId="0" fontId="38" fillId="0" borderId="1" xfId="1" applyFont="1" applyBorder="1" applyAlignment="1">
      <alignment wrapText="1"/>
    </xf>
    <xf numFmtId="0" fontId="38" fillId="0" borderId="1" xfId="0" applyFont="1" applyBorder="1" applyAlignment="1">
      <alignment horizontal="justify" vertical="center" wrapText="1"/>
    </xf>
    <xf numFmtId="0" fontId="39" fillId="0" borderId="1" xfId="0" applyFont="1" applyBorder="1" applyAlignment="1">
      <alignment horizontal="justify" vertical="center" wrapText="1"/>
    </xf>
    <xf numFmtId="0" fontId="40" fillId="0" borderId="1" xfId="0" applyFont="1" applyBorder="1" applyAlignment="1">
      <alignment horizontal="justify" vertical="center" wrapText="1"/>
    </xf>
    <xf numFmtId="0" fontId="38" fillId="0" borderId="1" xfId="1" applyFont="1" applyBorder="1" applyAlignment="1">
      <alignment vertical="center" wrapText="1"/>
    </xf>
    <xf numFmtId="0" fontId="41" fillId="0" borderId="1" xfId="0" applyFont="1" applyBorder="1" applyAlignment="1">
      <alignment horizontal="justify" vertical="center" wrapText="1"/>
    </xf>
    <xf numFmtId="0" fontId="21" fillId="0" borderId="1" xfId="1" applyFont="1" applyBorder="1" applyAlignment="1">
      <alignment vertical="center" wrapText="1"/>
    </xf>
    <xf numFmtId="0" fontId="35" fillId="0" borderId="2" xfId="1" applyFont="1" applyFill="1" applyBorder="1" applyAlignment="1">
      <alignment horizontal="center" vertical="center" wrapText="1"/>
    </xf>
    <xf numFmtId="0" fontId="35" fillId="0" borderId="4" xfId="1" applyFont="1" applyFill="1" applyBorder="1" applyAlignment="1">
      <alignment horizontal="center" vertical="center" wrapText="1"/>
    </xf>
    <xf numFmtId="0" fontId="35" fillId="0" borderId="3" xfId="1" applyFont="1" applyFill="1" applyBorder="1" applyAlignment="1">
      <alignment horizontal="center" vertical="center" wrapText="1"/>
    </xf>
    <xf numFmtId="0" fontId="34" fillId="0" borderId="1" xfId="1" applyFont="1" applyFill="1" applyBorder="1" applyAlignment="1">
      <alignment horizontal="center" vertical="center" wrapText="1"/>
    </xf>
    <xf numFmtId="0" fontId="14" fillId="0" borderId="0" xfId="1" applyFont="1" applyFill="1" applyAlignment="1">
      <alignment horizontal="center" vertical="center" wrapText="1"/>
    </xf>
    <xf numFmtId="0" fontId="12" fillId="0" borderId="0" xfId="1" applyFont="1" applyFill="1" applyAlignment="1">
      <alignment horizontal="justify" vertical="center" wrapText="1"/>
    </xf>
    <xf numFmtId="0" fontId="34" fillId="0" borderId="2" xfId="1" applyFont="1" applyFill="1" applyBorder="1" applyAlignment="1">
      <alignment horizontal="center" vertical="center" wrapText="1"/>
    </xf>
    <xf numFmtId="0" fontId="34" fillId="0" borderId="3" xfId="1" applyFont="1" applyFill="1" applyBorder="1" applyAlignment="1">
      <alignment horizontal="center" vertical="center" wrapText="1"/>
    </xf>
    <xf numFmtId="0" fontId="12" fillId="0" borderId="0" xfId="0" applyFont="1" applyFill="1"/>
    <xf numFmtId="0" fontId="30" fillId="0" borderId="0" xfId="0" applyFont="1" applyFill="1" applyAlignment="1">
      <alignment horizontal="center" vertical="center" wrapText="1"/>
    </xf>
    <xf numFmtId="0" fontId="15" fillId="0" borderId="0" xfId="0" applyFont="1" applyFill="1" applyAlignment="1">
      <alignment horizontal="center" vertical="center" wrapText="1"/>
    </xf>
    <xf numFmtId="0" fontId="20" fillId="0" borderId="0" xfId="1" applyFont="1" applyFill="1" applyAlignment="1">
      <alignment horizontal="left" vertical="center" wrapText="1"/>
    </xf>
    <xf numFmtId="0" fontId="20" fillId="0" borderId="0" xfId="1" applyFont="1" applyFill="1" applyAlignment="1">
      <alignment horizontal="left" vertical="center"/>
    </xf>
    <xf numFmtId="0" fontId="34" fillId="0" borderId="1" xfId="0" applyFont="1" applyBorder="1" applyAlignment="1">
      <alignment vertical="center" wrapText="1"/>
    </xf>
    <xf numFmtId="0" fontId="34" fillId="0" borderId="1" xfId="0" applyFont="1" applyBorder="1" applyAlignment="1">
      <alignment horizontal="left" vertical="center" wrapText="1"/>
    </xf>
    <xf numFmtId="0" fontId="35" fillId="0" borderId="2" xfId="1" applyFont="1" applyFill="1" applyBorder="1" applyAlignment="1">
      <alignment horizontal="center" vertical="top" wrapText="1"/>
    </xf>
    <xf numFmtId="0" fontId="35" fillId="0" borderId="4" xfId="1" applyFont="1" applyFill="1" applyBorder="1" applyAlignment="1">
      <alignment horizontal="center" vertical="top" wrapText="1"/>
    </xf>
    <xf numFmtId="0" fontId="35" fillId="0" borderId="3" xfId="1" applyFont="1" applyFill="1" applyBorder="1" applyAlignment="1">
      <alignment horizontal="center" vertical="top" wrapText="1"/>
    </xf>
    <xf numFmtId="0" fontId="30" fillId="0" borderId="1" xfId="0" applyFont="1" applyFill="1" applyBorder="1" applyAlignment="1">
      <alignment horizontal="left" vertical="center" wrapText="1"/>
    </xf>
    <xf numFmtId="0" fontId="43" fillId="0" borderId="0" xfId="0" applyFont="1" applyFill="1" applyAlignment="1">
      <alignment horizontal="center" vertical="center" wrapText="1"/>
    </xf>
    <xf numFmtId="0" fontId="32" fillId="0" borderId="9" xfId="0" applyFont="1" applyFill="1" applyBorder="1" applyAlignment="1">
      <alignment vertical="top" wrapText="1"/>
    </xf>
    <xf numFmtId="0" fontId="32" fillId="0" borderId="0" xfId="0" applyFont="1" applyFill="1" applyAlignment="1">
      <alignment vertical="top" wrapText="1"/>
    </xf>
    <xf numFmtId="0" fontId="32" fillId="0" borderId="0" xfId="0" applyFont="1" applyFill="1" applyAlignment="1">
      <alignment vertical="top" wrapText="1"/>
    </xf>
    <xf numFmtId="0" fontId="44" fillId="0" borderId="0" xfId="0" applyFont="1" applyFill="1" applyAlignment="1">
      <alignment horizontal="left" vertical="center" wrapText="1"/>
    </xf>
    <xf numFmtId="0" fontId="44" fillId="0" borderId="0" xfId="0" applyFont="1" applyFill="1" applyAlignment="1">
      <alignment horizontal="center" vertical="center" wrapText="1"/>
    </xf>
    <xf numFmtId="0" fontId="44" fillId="0" borderId="0" xfId="0" applyFont="1" applyFill="1" applyAlignment="1">
      <alignment horizontal="center"/>
    </xf>
    <xf numFmtId="0" fontId="32" fillId="0" borderId="0" xfId="0" applyFont="1" applyFill="1" applyAlignment="1">
      <alignment horizontal="left"/>
    </xf>
    <xf numFmtId="0" fontId="32" fillId="0" borderId="0" xfId="0" applyFont="1" applyFill="1"/>
    <xf numFmtId="0" fontId="44" fillId="0" borderId="0" xfId="0" applyFont="1" applyFill="1" applyAlignment="1">
      <alignment horizontal="left" vertical="center"/>
    </xf>
    <xf numFmtId="0" fontId="32" fillId="0" borderId="0" xfId="0" applyFont="1" applyFill="1" applyAlignment="1">
      <alignment horizontal="center" vertical="center"/>
    </xf>
    <xf numFmtId="165" fontId="32" fillId="0" borderId="0" xfId="0" applyNumberFormat="1" applyFont="1" applyFill="1" applyAlignment="1">
      <alignment horizontal="center" vertical="center"/>
    </xf>
    <xf numFmtId="2" fontId="32" fillId="0" borderId="0" xfId="0" applyNumberFormat="1" applyFont="1" applyFill="1" applyAlignment="1">
      <alignment horizontal="center" vertical="center"/>
    </xf>
    <xf numFmtId="0" fontId="46" fillId="0" borderId="0" xfId="1" applyFont="1" applyFill="1" applyAlignment="1">
      <alignment horizontal="left" vertical="center"/>
    </xf>
    <xf numFmtId="0" fontId="47" fillId="0" borderId="0" xfId="0" applyFont="1" applyFill="1" applyBorder="1" applyAlignment="1">
      <alignment horizontal="right"/>
    </xf>
    <xf numFmtId="0" fontId="47" fillId="0" borderId="0" xfId="0" applyFont="1" applyFill="1" applyBorder="1" applyAlignment="1"/>
    <xf numFmtId="0" fontId="32" fillId="0" borderId="0" xfId="1" applyFont="1" applyFill="1" applyAlignment="1">
      <alignment horizontal="left" vertical="center"/>
    </xf>
    <xf numFmtId="0" fontId="32" fillId="0" borderId="0" xfId="1" applyFont="1" applyFill="1"/>
    <xf numFmtId="0" fontId="49" fillId="0" borderId="0" xfId="2" applyFont="1" applyFill="1" applyAlignment="1" applyProtection="1"/>
    <xf numFmtId="0" fontId="32" fillId="0" borderId="0" xfId="0" applyFont="1" applyFill="1" applyAlignment="1">
      <alignment vertical="center"/>
    </xf>
    <xf numFmtId="0" fontId="32" fillId="0" borderId="1" xfId="0" applyFont="1" applyBorder="1" applyAlignment="1">
      <alignment horizontal="left" vertical="top" wrapText="1"/>
    </xf>
    <xf numFmtId="0" fontId="33" fillId="0" borderId="1" xfId="0" applyFont="1" applyBorder="1" applyAlignment="1">
      <alignment horizontal="left" vertical="center" wrapText="1"/>
    </xf>
    <xf numFmtId="0" fontId="33" fillId="0" borderId="1" xfId="0" applyFont="1" applyBorder="1" applyAlignment="1">
      <alignment horizontal="center" vertical="center" wrapText="1"/>
    </xf>
    <xf numFmtId="0" fontId="45" fillId="0" borderId="1" xfId="0" applyFont="1" applyBorder="1" applyAlignment="1">
      <alignment horizontal="center" vertical="center" wrapText="1"/>
    </xf>
    <xf numFmtId="0" fontId="45" fillId="0" borderId="1" xfId="0" applyFont="1" applyBorder="1" applyAlignment="1">
      <alignment horizontal="center" vertical="center"/>
    </xf>
    <xf numFmtId="0" fontId="42" fillId="0" borderId="1" xfId="0" applyFont="1" applyBorder="1" applyAlignment="1">
      <alignment horizontal="left" vertical="center" wrapText="1"/>
    </xf>
    <xf numFmtId="2" fontId="45" fillId="0" borderId="1" xfId="0" applyNumberFormat="1" applyFont="1" applyBorder="1" applyAlignment="1">
      <alignment horizontal="center" vertical="center"/>
    </xf>
    <xf numFmtId="2" fontId="45" fillId="0" borderId="1" xfId="24" applyNumberFormat="1" applyFont="1" applyBorder="1" applyAlignment="1">
      <alignment horizontal="center" vertical="center"/>
    </xf>
    <xf numFmtId="0" fontId="45" fillId="0" borderId="1" xfId="0" applyFont="1" applyBorder="1" applyAlignment="1">
      <alignment horizontal="center" vertical="center"/>
    </xf>
    <xf numFmtId="0" fontId="32" fillId="0" borderId="1" xfId="1" applyFont="1" applyBorder="1" applyAlignment="1">
      <alignment vertical="center" wrapText="1"/>
    </xf>
    <xf numFmtId="0" fontId="32" fillId="0" borderId="1" xfId="0" applyFont="1" applyBorder="1" applyAlignment="1">
      <alignment horizontal="left" vertical="center" wrapText="1"/>
    </xf>
    <xf numFmtId="0" fontId="32" fillId="0" borderId="1" xfId="0" applyFont="1" applyBorder="1" applyAlignment="1">
      <alignment horizontal="justify" vertical="center" wrapText="1"/>
    </xf>
    <xf numFmtId="0" fontId="32" fillId="0" borderId="2" xfId="0" applyFont="1" applyBorder="1" applyAlignment="1">
      <alignment horizontal="left" vertical="top" wrapText="1"/>
    </xf>
    <xf numFmtId="0" fontId="32" fillId="0" borderId="4" xfId="0" applyFont="1" applyBorder="1" applyAlignment="1">
      <alignment horizontal="left" vertical="top" wrapText="1"/>
    </xf>
    <xf numFmtId="0" fontId="32" fillId="0" borderId="3" xfId="0" applyFont="1" applyBorder="1" applyAlignment="1">
      <alignment horizontal="left" vertical="top" wrapText="1"/>
    </xf>
    <xf numFmtId="0" fontId="33" fillId="0" borderId="2" xfId="0" applyFont="1" applyBorder="1" applyAlignment="1">
      <alignment horizontal="left" vertical="center" wrapText="1"/>
    </xf>
    <xf numFmtId="0" fontId="33" fillId="0" borderId="4" xfId="0" applyFont="1" applyBorder="1" applyAlignment="1">
      <alignment horizontal="left" vertical="center" wrapText="1"/>
    </xf>
    <xf numFmtId="0" fontId="33" fillId="0" borderId="3" xfId="0" applyFont="1" applyBorder="1" applyAlignment="1">
      <alignment horizontal="left" vertical="center" wrapText="1"/>
    </xf>
    <xf numFmtId="0" fontId="38" fillId="0" borderId="1" xfId="0" applyFont="1" applyBorder="1" applyAlignment="1">
      <alignment horizontal="center" vertical="center"/>
    </xf>
    <xf numFmtId="0" fontId="40" fillId="0" borderId="2" xfId="0" applyFont="1" applyBorder="1" applyAlignment="1">
      <alignment horizontal="center" vertical="center" wrapText="1"/>
    </xf>
    <xf numFmtId="0" fontId="40" fillId="0" borderId="3" xfId="0" applyFont="1" applyBorder="1" applyAlignment="1">
      <alignment horizontal="center" vertical="center" wrapText="1"/>
    </xf>
    <xf numFmtId="0" fontId="38" fillId="0" borderId="1" xfId="0" applyFont="1" applyBorder="1" applyAlignment="1">
      <alignment horizontal="center" vertical="center" wrapText="1"/>
    </xf>
    <xf numFmtId="0" fontId="40" fillId="0" borderId="2" xfId="0" applyFont="1" applyBorder="1" applyAlignment="1">
      <alignment horizontal="center" vertical="center"/>
    </xf>
    <xf numFmtId="0" fontId="40" fillId="0" borderId="4" xfId="0" applyFont="1" applyBorder="1" applyAlignment="1">
      <alignment horizontal="center" vertical="center"/>
    </xf>
    <xf numFmtId="0" fontId="40" fillId="0" borderId="3" xfId="0" applyFont="1" applyBorder="1" applyAlignment="1">
      <alignment horizontal="center" vertical="center"/>
    </xf>
    <xf numFmtId="0" fontId="38" fillId="0" borderId="1" xfId="0" applyFont="1" applyBorder="1" applyAlignment="1">
      <alignment horizontal="left" vertical="center" wrapText="1"/>
    </xf>
  </cellXfs>
  <cellStyles count="25">
    <cellStyle name="Comma 2" xfId="3" xr:uid="{00000000-0005-0000-0000-000000000000}"/>
    <cellStyle name="Comma 3" xfId="4" xr:uid="{00000000-0005-0000-0000-000001000000}"/>
    <cellStyle name="Comma0 - Type3" xfId="5" xr:uid="{00000000-0005-0000-0000-000002000000}"/>
    <cellStyle name="Fixed2 - Type2" xfId="6" xr:uid="{00000000-0005-0000-0000-000003000000}"/>
    <cellStyle name="Hipervínculo" xfId="2" builtinId="8"/>
    <cellStyle name="Hyperlink 2" xfId="7" xr:uid="{00000000-0005-0000-0000-000005000000}"/>
    <cellStyle name="Hyperlink 3" xfId="8" xr:uid="{00000000-0005-0000-0000-000006000000}"/>
    <cellStyle name="Input 2" xfId="9" xr:uid="{00000000-0005-0000-0000-000007000000}"/>
    <cellStyle name="Komma 2" xfId="10" xr:uid="{00000000-0005-0000-0000-000008000000}"/>
    <cellStyle name="Komma 3" xfId="11" xr:uid="{00000000-0005-0000-0000-000009000000}"/>
    <cellStyle name="Link 2" xfId="12" xr:uid="{00000000-0005-0000-0000-00000A000000}"/>
    <cellStyle name="Neutral 2" xfId="13" xr:uid="{00000000-0005-0000-0000-00000B000000}"/>
    <cellStyle name="Normal" xfId="0" builtinId="0"/>
    <cellStyle name="Normal 10" xfId="14" xr:uid="{00000000-0005-0000-0000-00000D000000}"/>
    <cellStyle name="Normal 2" xfId="1" xr:uid="{00000000-0005-0000-0000-00000E000000}"/>
    <cellStyle name="Normal 3" xfId="15" xr:uid="{00000000-0005-0000-0000-00000F000000}"/>
    <cellStyle name="Normal 6" xfId="16" xr:uid="{00000000-0005-0000-0000-000010000000}"/>
    <cellStyle name="Normal 6 2" xfId="17" xr:uid="{00000000-0005-0000-0000-000011000000}"/>
    <cellStyle name="Output 2" xfId="18" xr:uid="{00000000-0005-0000-0000-000012000000}"/>
    <cellStyle name="Percen - Type1" xfId="19" xr:uid="{00000000-0005-0000-0000-000013000000}"/>
    <cellStyle name="Percent 2" xfId="20" xr:uid="{00000000-0005-0000-0000-000014000000}"/>
    <cellStyle name="Porcentaje" xfId="24" builtinId="5"/>
    <cellStyle name="Procent 2" xfId="21" xr:uid="{00000000-0005-0000-0000-000016000000}"/>
    <cellStyle name="Procent 3" xfId="22" xr:uid="{00000000-0005-0000-0000-000017000000}"/>
    <cellStyle name="Total 2" xfId="23" xr:uid="{00000000-0005-0000-0000-000018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chartsheet" Target="chartsheets/sheet4.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hartsheet" Target="chartsheets/sheet3.xml"/><Relationship Id="rId11" Type="http://schemas.openxmlformats.org/officeDocument/2006/relationships/theme" Target="theme/theme1.xml"/><Relationship Id="rId5" Type="http://schemas.openxmlformats.org/officeDocument/2006/relationships/chartsheet" Target="chartsheets/sheet2.xml"/><Relationship Id="rId10" Type="http://schemas.openxmlformats.org/officeDocument/2006/relationships/externalLink" Target="externalLinks/externalLink3.xml"/><Relationship Id="rId4" Type="http://schemas.openxmlformats.org/officeDocument/2006/relationships/chartsheet" Target="chartsheets/sheet1.xml"/><Relationship Id="rId9" Type="http://schemas.openxmlformats.org/officeDocument/2006/relationships/externalLink" Target="externalLinks/externalLink2.xml"/><Relationship Id="rId14" Type="http://schemas.openxmlformats.org/officeDocument/2006/relationships/calcChain" Target="calcChain.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0.12517715870651999"/>
                  <c:y val="-8.7149033380353735E-3"/>
                </c:manualLayout>
              </c:layout>
              <c:numFmt formatCode="#,##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(Data!$F$2,Data!$H$2,Data!$I$2,Data!$J$2)</c:f>
              <c:numCache>
                <c:formatCode>General</c:formatCode>
                <c:ptCount val="4"/>
                <c:pt idx="0">
                  <c:v>2016</c:v>
                </c:pt>
                <c:pt idx="1">
                  <c:v>2020</c:v>
                </c:pt>
                <c:pt idx="2">
                  <c:v>2025</c:v>
                </c:pt>
                <c:pt idx="3">
                  <c:v>2030</c:v>
                </c:pt>
              </c:numCache>
            </c:numRef>
          </c:xVal>
          <c:yVal>
            <c:numRef>
              <c:f>(Data!$F$17,Data!$H$17,Data!$I$17,Data!$J$17)</c:f>
              <c:numCache>
                <c:formatCode>0.000</c:formatCode>
                <c:ptCount val="4"/>
                <c:pt idx="0">
                  <c:v>0.26250000000000001</c:v>
                </c:pt>
                <c:pt idx="1">
                  <c:v>0.21560000000000001</c:v>
                </c:pt>
                <c:pt idx="2">
                  <c:v>0.1686</c:v>
                </c:pt>
                <c:pt idx="3">
                  <c:v>0.1318</c:v>
                </c:pt>
              </c:numCache>
            </c:numRef>
          </c:yVal>
          <c:smooth val="1"/>
          <c:extLst>
            <c:ext xmlns:c16="http://schemas.microsoft.com/office/drawing/2014/chart" uri="{C3380CC4-5D6E-409C-BE32-E72D297353CC}">
              <c16:uniqueId val="{00000000-A6ED-49CE-8505-90AA502F890F}"/>
            </c:ext>
          </c:extLst>
        </c:ser>
        <c:dLbls>
          <c:showLegendKey val="0"/>
          <c:showVal val="0"/>
          <c:showCatName val="0"/>
          <c:showSerName val="0"/>
          <c:showPercent val="0"/>
          <c:showBubbleSize val="0"/>
        </c:dLbls>
        <c:axId val="91176320"/>
        <c:axId val="91188608"/>
      </c:scatterChart>
      <c:valAx>
        <c:axId val="9117632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1188608"/>
        <c:crosses val="autoZero"/>
        <c:crossBetween val="midCat"/>
      </c:valAx>
      <c:valAx>
        <c:axId val="91188608"/>
        <c:scaling>
          <c:orientation val="minMax"/>
          <c:min val="6.0000000000000012E-2"/>
        </c:scaling>
        <c:delete val="0"/>
        <c:axPos val="l"/>
        <c:majorGridlines>
          <c:spPr>
            <a:ln w="9525" cap="flat" cmpd="sng" algn="ctr">
              <a:solidFill>
                <a:schemeClr val="tx1">
                  <a:lumMod val="15000"/>
                  <a:lumOff val="85000"/>
                </a:schemeClr>
              </a:solidFill>
              <a:round/>
            </a:ln>
            <a:effectLst/>
          </c:spPr>
        </c:majorGridlines>
        <c:numFmt formatCode="0.000"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117632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dispRSqr val="1"/>
            <c:dispEq val="1"/>
            <c:trendlineLbl>
              <c:layout>
                <c:manualLayout>
                  <c:x val="5.2705735402432376E-2"/>
                  <c:y val="0.6715078408196532"/>
                </c:manualLayout>
              </c:layout>
              <c:numFmt formatCode="#,##0.00000000000000000000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xVal>
            <c:numRef>
              <c:f>(Data!$F$2,Data!$H$2,Data!$I$2,Data!$J$2)</c:f>
              <c:numCache>
                <c:formatCode>General</c:formatCode>
                <c:ptCount val="4"/>
                <c:pt idx="0">
                  <c:v>2016</c:v>
                </c:pt>
                <c:pt idx="1">
                  <c:v>2020</c:v>
                </c:pt>
                <c:pt idx="2">
                  <c:v>2025</c:v>
                </c:pt>
                <c:pt idx="3">
                  <c:v>2030</c:v>
                </c:pt>
              </c:numCache>
            </c:numRef>
          </c:xVal>
          <c:yVal>
            <c:numRef>
              <c:f>(Data!$F$22,Data!$H$22,Data!$I$22,Data!$J$22)</c:f>
              <c:numCache>
                <c:formatCode>General</c:formatCode>
                <c:ptCount val="4"/>
                <c:pt idx="0">
                  <c:v>1500</c:v>
                </c:pt>
                <c:pt idx="1">
                  <c:v>1866</c:v>
                </c:pt>
                <c:pt idx="2">
                  <c:v>2453</c:v>
                </c:pt>
                <c:pt idx="3">
                  <c:v>3225</c:v>
                </c:pt>
              </c:numCache>
            </c:numRef>
          </c:yVal>
          <c:smooth val="1"/>
          <c:extLst>
            <c:ext xmlns:c16="http://schemas.microsoft.com/office/drawing/2014/chart" uri="{C3380CC4-5D6E-409C-BE32-E72D297353CC}">
              <c16:uniqueId val="{00000000-463E-4E7B-A3E1-D85362D99963}"/>
            </c:ext>
          </c:extLst>
        </c:ser>
        <c:dLbls>
          <c:showLegendKey val="0"/>
          <c:showVal val="0"/>
          <c:showCatName val="0"/>
          <c:showSerName val="0"/>
          <c:showPercent val="0"/>
          <c:showBubbleSize val="0"/>
        </c:dLbls>
        <c:axId val="93744512"/>
        <c:axId val="108186240"/>
      </c:scatterChart>
      <c:valAx>
        <c:axId val="93744512"/>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8186240"/>
        <c:crosses val="autoZero"/>
        <c:crossBetween val="midCat"/>
      </c:valAx>
      <c:valAx>
        <c:axId val="108186240"/>
        <c:scaling>
          <c:orientation val="minMax"/>
          <c:min val="100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93744512"/>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forward val="20"/>
            <c:dispRSqr val="1"/>
            <c:dispEq val="1"/>
            <c:trendlineLbl>
              <c:layout>
                <c:manualLayout>
                  <c:x val="-3.319069646373745E-2"/>
                  <c:y val="-7.521193883866123E-2"/>
                </c:manualLayout>
              </c:layout>
              <c:numFmt formatCode="#,##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trendline>
            <c:spPr>
              <a:ln w="25400" cap="rnd">
                <a:solidFill>
                  <a:schemeClr val="accent2"/>
                </a:solidFill>
                <a:prstDash val="sysDot"/>
              </a:ln>
              <a:effectLst/>
            </c:spPr>
            <c:trendlineType val="linear"/>
            <c:forward val="20"/>
            <c:dispRSqr val="1"/>
            <c:dispEq val="1"/>
            <c:trendlineLbl>
              <c:layout>
                <c:manualLayout>
                  <c:x val="6.3759314269195705E-2"/>
                  <c:y val="0.23829940792551454"/>
                </c:manualLayout>
              </c:layout>
              <c:numFmt formatCode="#,##0.00"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trendlineLbl>
          </c:trendline>
          <c:xVal>
            <c:numRef>
              <c:f>(Data!$H$2,Data!$J$2)</c:f>
              <c:numCache>
                <c:formatCode>General</c:formatCode>
                <c:ptCount val="2"/>
                <c:pt idx="0">
                  <c:v>2020</c:v>
                </c:pt>
                <c:pt idx="1">
                  <c:v>2030</c:v>
                </c:pt>
              </c:numCache>
            </c:numRef>
          </c:xVal>
          <c:yVal>
            <c:numRef>
              <c:f>(Data!$H$25,Data!$J$25)</c:f>
              <c:numCache>
                <c:formatCode>General</c:formatCode>
                <c:ptCount val="2"/>
                <c:pt idx="0">
                  <c:v>37.5</c:v>
                </c:pt>
                <c:pt idx="1">
                  <c:v>50</c:v>
                </c:pt>
              </c:numCache>
            </c:numRef>
          </c:yVal>
          <c:smooth val="1"/>
          <c:extLst>
            <c:ext xmlns:c16="http://schemas.microsoft.com/office/drawing/2014/chart" uri="{C3380CC4-5D6E-409C-BE32-E72D297353CC}">
              <c16:uniqueId val="{00000000-BA5C-4BEF-8777-F0681E536714}"/>
            </c:ext>
          </c:extLst>
        </c:ser>
        <c:dLbls>
          <c:showLegendKey val="0"/>
          <c:showVal val="0"/>
          <c:showCatName val="0"/>
          <c:showSerName val="0"/>
          <c:showPercent val="0"/>
          <c:showBubbleSize val="0"/>
        </c:dLbls>
        <c:axId val="109894656"/>
        <c:axId val="118171904"/>
      </c:scatterChart>
      <c:valAx>
        <c:axId val="10989465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18171904"/>
        <c:crosses val="autoZero"/>
        <c:crossBetween val="midCat"/>
      </c:valAx>
      <c:valAx>
        <c:axId val="118171904"/>
        <c:scaling>
          <c:orientation val="minMax"/>
          <c:min val="3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09894656"/>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MX"/>
        </a:p>
      </c:txPr>
    </c:title>
    <c:autoTitleDeleted val="0"/>
    <c:plotArea>
      <c:layout/>
      <c:scatterChart>
        <c:scatterStyle val="smoothMarker"/>
        <c:varyColors val="0"/>
        <c:ser>
          <c:idx val="0"/>
          <c:order val="0"/>
          <c:spPr>
            <a:ln w="19050" cap="rnd">
              <a:solidFill>
                <a:schemeClr val="accent1"/>
              </a:solidFill>
              <a:round/>
            </a:ln>
            <a:effectLst/>
          </c:spPr>
          <c:marker>
            <c:symbol val="circle"/>
            <c:size val="5"/>
            <c:spPr>
              <a:solidFill>
                <a:schemeClr val="accent1"/>
              </a:solidFill>
              <a:ln w="9525">
                <a:solidFill>
                  <a:schemeClr val="accent1"/>
                </a:solidFill>
              </a:ln>
              <a:effectLst/>
            </c:spPr>
          </c:marker>
          <c:trendline>
            <c:spPr>
              <a:ln w="19050" cap="rnd">
                <a:solidFill>
                  <a:schemeClr val="accent1"/>
                </a:solidFill>
                <a:prstDash val="sysDot"/>
              </a:ln>
              <a:effectLst/>
            </c:spPr>
            <c:trendlineType val="exp"/>
            <c:forward val="20"/>
            <c:dispRSqr val="1"/>
            <c:dispEq val="1"/>
            <c:trendlineLbl>
              <c:layout>
                <c:manualLayout>
                  <c:x val="3.9484308065141548E-2"/>
                  <c:y val="-5.6191210719179374E-2"/>
                </c:manualLayout>
              </c:layout>
              <c:numFmt formatCode="#,##0.000000000000000000000000000000000000000000000000000000000000" sourceLinked="0"/>
              <c:spPr>
                <a:noFill/>
                <a:ln>
                  <a:noFill/>
                </a:ln>
                <a:effectLst/>
              </c:spPr>
              <c:txPr>
                <a:bodyPr rot="0" spcFirstLastPara="1" vertOverflow="ellipsis" vert="horz" wrap="square" anchor="ctr" anchorCtr="1"/>
                <a:lstStyle/>
                <a:p>
                  <a:pPr>
                    <a:defRPr sz="1100" b="1" i="0" u="none" strike="noStrike" kern="1200" baseline="0">
                      <a:solidFill>
                        <a:schemeClr val="tx1">
                          <a:lumMod val="65000"/>
                          <a:lumOff val="35000"/>
                        </a:schemeClr>
                      </a:solidFill>
                      <a:latin typeface="+mn-lt"/>
                      <a:ea typeface="+mn-ea"/>
                      <a:cs typeface="+mn-cs"/>
                    </a:defRPr>
                  </a:pPr>
                  <a:endParaRPr lang="es-MX"/>
                </a:p>
              </c:txPr>
            </c:trendlineLbl>
          </c:trendline>
          <c:trendline>
            <c:spPr>
              <a:ln w="28575" cap="rnd">
                <a:solidFill>
                  <a:schemeClr val="accent2"/>
                </a:solidFill>
                <a:prstDash val="sysDot"/>
              </a:ln>
              <a:effectLst/>
            </c:spPr>
            <c:trendlineType val="linear"/>
            <c:forward val="20"/>
            <c:dispRSqr val="1"/>
            <c:dispEq val="1"/>
            <c:trendlineLbl>
              <c:layout>
                <c:manualLayout>
                  <c:x val="0.10221070503505025"/>
                  <c:y val="0.10094243856492909"/>
                </c:manualLayout>
              </c:layout>
              <c:numFmt formatCode="#,##0.00" sourceLinked="0"/>
              <c:spPr>
                <a:noFill/>
                <a:ln>
                  <a:noFill/>
                </a:ln>
                <a:effectLst/>
              </c:spPr>
              <c:txPr>
                <a:bodyPr rot="0" spcFirstLastPara="1" vertOverflow="ellipsis" vert="horz" wrap="square" anchor="ctr" anchorCtr="1"/>
                <a:lstStyle/>
                <a:p>
                  <a:pPr>
                    <a:defRPr sz="1050" b="0" i="0" u="none" strike="noStrike" kern="1200" baseline="0">
                      <a:solidFill>
                        <a:schemeClr val="tx1">
                          <a:lumMod val="65000"/>
                          <a:lumOff val="35000"/>
                        </a:schemeClr>
                      </a:solidFill>
                      <a:latin typeface="+mn-lt"/>
                      <a:ea typeface="+mn-ea"/>
                      <a:cs typeface="+mn-cs"/>
                    </a:defRPr>
                  </a:pPr>
                  <a:endParaRPr lang="es-MX"/>
                </a:p>
              </c:txPr>
            </c:trendlineLbl>
          </c:trendline>
          <c:xVal>
            <c:numRef>
              <c:f>(Data!$H$2,Data!$J$2)</c:f>
              <c:numCache>
                <c:formatCode>General</c:formatCode>
                <c:ptCount val="2"/>
                <c:pt idx="0">
                  <c:v>2020</c:v>
                </c:pt>
                <c:pt idx="1">
                  <c:v>2030</c:v>
                </c:pt>
              </c:numCache>
            </c:numRef>
          </c:xVal>
          <c:yVal>
            <c:numRef>
              <c:f>(Data!$H$26,Data!$J$26)</c:f>
              <c:numCache>
                <c:formatCode>General</c:formatCode>
                <c:ptCount val="2"/>
                <c:pt idx="0">
                  <c:v>100</c:v>
                </c:pt>
                <c:pt idx="1">
                  <c:v>195</c:v>
                </c:pt>
              </c:numCache>
            </c:numRef>
          </c:yVal>
          <c:smooth val="1"/>
          <c:extLst>
            <c:ext xmlns:c16="http://schemas.microsoft.com/office/drawing/2014/chart" uri="{C3380CC4-5D6E-409C-BE32-E72D297353CC}">
              <c16:uniqueId val="{00000000-2E82-4F52-B81F-96AF0E6A74BD}"/>
            </c:ext>
          </c:extLst>
        </c:ser>
        <c:dLbls>
          <c:showLegendKey val="0"/>
          <c:showVal val="0"/>
          <c:showCatName val="0"/>
          <c:showSerName val="0"/>
          <c:showPercent val="0"/>
          <c:showBubbleSize val="0"/>
        </c:dLbls>
        <c:axId val="165264000"/>
        <c:axId val="165269888"/>
      </c:scatterChart>
      <c:valAx>
        <c:axId val="165264000"/>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5269888"/>
        <c:crosses val="autoZero"/>
        <c:crossBetween val="midCat"/>
      </c:valAx>
      <c:valAx>
        <c:axId val="165269888"/>
        <c:scaling>
          <c:orientation val="minMax"/>
          <c:min val="50"/>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MX"/>
          </a:p>
        </c:txPr>
        <c:crossAx val="165264000"/>
        <c:crosses val="autoZero"/>
        <c:crossBetween val="midCat"/>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MX"/>
    </a:p>
  </c:txPr>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40">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19050"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spPr>
      <a:ln w="9525" cap="flat" cmpd="sng" algn="ctr">
        <a:solidFill>
          <a:schemeClr val="tx1">
            <a:lumMod val="25000"/>
            <a:lumOff val="75000"/>
          </a:schemeClr>
        </a:solidFill>
        <a:round/>
      </a:ln>
    </cs:spPr>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300-000000000000}">
  <sheetPr/>
  <sheetViews>
    <sheetView zoomScale="102"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sheetViews>
    <sheetView zoomScale="102"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sheetViews>
    <sheetView zoomScale="102"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sheetViews>
    <sheetView zoomScale="102"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absoluteAnchor>
    <xdr:pos x="0" y="0"/>
    <xdr:ext cx="8665882" cy="6293971"/>
    <xdr:graphicFrame macro="">
      <xdr:nvGraphicFramePr>
        <xdr:cNvPr id="2" name="Gráfico 1">
          <a:extLst>
            <a:ext uri="{FF2B5EF4-FFF2-40B4-BE49-F238E27FC236}">
              <a16:creationId xmlns:a16="http://schemas.microsoft.com/office/drawing/2014/main" id="{81912B41-81AA-4E82-A814-3C9C745F7C7A}"/>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xdr:wsDr xmlns:xdr="http://schemas.openxmlformats.org/drawingml/2006/spreadsheetDrawing" xmlns:a="http://schemas.openxmlformats.org/drawingml/2006/main">
  <xdr:absoluteAnchor>
    <xdr:pos x="0" y="0"/>
    <xdr:ext cx="8665882" cy="6293971"/>
    <xdr:graphicFrame macro="">
      <xdr:nvGraphicFramePr>
        <xdr:cNvPr id="2" name="Gráfico 1">
          <a:extLst>
            <a:ext uri="{FF2B5EF4-FFF2-40B4-BE49-F238E27FC236}">
              <a16:creationId xmlns:a16="http://schemas.microsoft.com/office/drawing/2014/main" id="{80C353BA-01C3-49EC-90C6-CC94ED07B0E4}"/>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xdr:wsDr xmlns:xdr="http://schemas.openxmlformats.org/drawingml/2006/spreadsheetDrawing" xmlns:a="http://schemas.openxmlformats.org/drawingml/2006/main">
  <xdr:absoluteAnchor>
    <xdr:pos x="0" y="0"/>
    <xdr:ext cx="8665882" cy="6293971"/>
    <xdr:graphicFrame macro="">
      <xdr:nvGraphicFramePr>
        <xdr:cNvPr id="2" name="Gráfico 1">
          <a:extLst>
            <a:ext uri="{FF2B5EF4-FFF2-40B4-BE49-F238E27FC236}">
              <a16:creationId xmlns:a16="http://schemas.microsoft.com/office/drawing/2014/main" id="{FB260EE0-6A3D-41B6-8732-51CDFA61F69F}"/>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8665882" cy="6293971"/>
    <xdr:graphicFrame macro="">
      <xdr:nvGraphicFramePr>
        <xdr:cNvPr id="2" name="Gráfico 1">
          <a:extLst>
            <a:ext uri="{FF2B5EF4-FFF2-40B4-BE49-F238E27FC236}">
              <a16:creationId xmlns:a16="http://schemas.microsoft.com/office/drawing/2014/main" id="{C09ECA73-A128-4A13-866F-2753C0D4092B}"/>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ens.dk/0110_2014%20teknologikatalog%20opdat/Fase%203/PV%20HURTIG%20JAN2017/oktober%202017/Copy%20of%2020-23_electricity_generation_-_non-thermal_processes_solar%20PV%20_%20data%20sheet%20rin%2011okt.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H:\Users\PC\Downloads\MX%20TC%20Data%20Sheets%20Draft1_Ver_191126_DK.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PC\Desktop\COOP%20DANESA\Catalogue\MX%20TC%20Data%20Sheets%20-%20final%20draft_revisi&#243;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2 Photovoltaics  LARGE Old"/>
      <sheetName val="arbejds ark LARGE New"/>
      <sheetName val="22 Photovoltaics  SMALL old "/>
      <sheetName val="fra leverandører"/>
      <sheetName val="22 Photovoltaics  LARGE new"/>
    </sheetNames>
    <sheetDataSet>
      <sheetData sheetId="0">
        <row r="2">
          <cell r="N2">
            <v>0.98501248959200671</v>
          </cell>
        </row>
      </sheetData>
      <sheetData sheetId="1">
        <row r="33">
          <cell r="K33">
            <v>1.0720000000000001</v>
          </cell>
        </row>
        <row r="67">
          <cell r="S67">
            <v>0.97574759572313619</v>
          </cell>
        </row>
      </sheetData>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C Pumped hydro storage"/>
      <sheetName val="DaTC Flywheels"/>
      <sheetName val="PHS"/>
      <sheetName val="CAES"/>
      <sheetName val="Flywheels"/>
      <sheetName val="Li-Ion Battery"/>
      <sheetName val="VR Flow Battery"/>
      <sheetName val="Na-S Battery"/>
      <sheetName val="Lead acid battery"/>
      <sheetName val="Molten Salt"/>
      <sheetName val="Supercapacitors"/>
      <sheetName val="Lead acid battery DK"/>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2 Pump Hydro Storage"/>
      <sheetName val="PHS - Datos revisión"/>
      <sheetName val="03 Lithium Ion Battery"/>
      <sheetName val="04 Lead-Acid Battery"/>
      <sheetName val="Lead Acid - Datos revisión."/>
      <sheetName val="05 Na-S Battery"/>
      <sheetName val="Na-S - Datos revision"/>
      <sheetName val="06 Vanadium Redox Flow Battery"/>
      <sheetName val="07 Molten Salt Storage 2f"/>
      <sheetName val="Molten Salt -Datos revisión "/>
      <sheetName val="08 CAES"/>
      <sheetName val="09 Supercapacitors"/>
      <sheetName val="Supercapacit - Datos recientes"/>
      <sheetName val="10 Flywheels"/>
      <sheetName val="Flywheels - Datos recientes"/>
      <sheetName val="VR Flow - Datos revision"/>
      <sheetName val="CAES -Datos recien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wholesalesolar.com/cms/fullriver-dc400-6-agm-battery-specs-4017212128.pdf" TargetMode="External"/><Relationship Id="rId1" Type="http://schemas.openxmlformats.org/officeDocument/2006/relationships/hyperlink" Target="https://www.irena.org/-/media/Files/IRENA/Agency/Events/2017/Mar/15/2017_Kairies_Battery_Cost_and_Performance_01.pdf"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hyperlink" Target="https://www.wholesalesolar.com/cms/fullriver-dc400-6-agm-battery-specs-4017212128.pdf" TargetMode="External"/><Relationship Id="rId1" Type="http://schemas.openxmlformats.org/officeDocument/2006/relationships/hyperlink" Target="https://www.irena.org/-/media/Files/IRENA/Agency/Events/2017/Mar/15/2017_Kairies_Battery_Cost_and_Performance_01.pdf" TargetMode="External"/><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hyperlink" Target="https://www.wholesalesolar.com/cms/fullriver-dc400-6-agm-battery-specs-4017212128.pdf" TargetMode="External"/><Relationship Id="rId1" Type="http://schemas.openxmlformats.org/officeDocument/2006/relationships/hyperlink" Target="https://www.irena.org/-/media/Files/IRENA/Agency/Events/2017/Mar/15/2017_Kairies_Battery_Cost_and_Performance_01.pdf" TargetMode="External"/><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8" tint="-0.249977111117893"/>
  </sheetPr>
  <dimension ref="A1:Y82"/>
  <sheetViews>
    <sheetView tabSelected="1" zoomScale="80" zoomScaleNormal="80" workbookViewId="0">
      <selection activeCell="A16" sqref="A16"/>
    </sheetView>
  </sheetViews>
  <sheetFormatPr baseColWidth="10" defaultColWidth="9.140625" defaultRowHeight="18"/>
  <cols>
    <col min="1" max="1" width="102" style="1" customWidth="1"/>
    <col min="2" max="2" width="61.85546875" style="1" hidden="1" customWidth="1"/>
    <col min="3" max="3" width="4.28515625" style="1" customWidth="1"/>
    <col min="4" max="10" width="10.7109375" style="1" customWidth="1"/>
    <col min="11" max="11" width="9.140625" style="1"/>
    <col min="12" max="12" width="16.28515625" style="1" customWidth="1"/>
    <col min="13" max="13" width="16.85546875" style="2" customWidth="1"/>
    <col min="14" max="16384" width="9.140625" style="1"/>
  </cols>
  <sheetData>
    <row r="1" spans="1:25">
      <c r="N1" s="2"/>
      <c r="O1" s="2"/>
      <c r="P1" s="2"/>
      <c r="Q1" s="2"/>
      <c r="R1" s="2"/>
      <c r="S1" s="2"/>
      <c r="T1" s="2"/>
      <c r="U1" s="2"/>
      <c r="V1" s="2"/>
      <c r="W1" s="2"/>
      <c r="X1" s="2"/>
      <c r="Y1" s="2"/>
    </row>
    <row r="2" spans="1:25" ht="20.100000000000001" customHeight="1">
      <c r="A2" s="120" t="s">
        <v>148</v>
      </c>
      <c r="B2" s="87" t="s">
        <v>0</v>
      </c>
      <c r="D2" s="110" t="s">
        <v>180</v>
      </c>
      <c r="E2" s="110"/>
      <c r="F2" s="110"/>
      <c r="G2" s="110"/>
      <c r="H2" s="110"/>
      <c r="I2" s="110"/>
      <c r="J2" s="110"/>
      <c r="K2" s="110"/>
      <c r="L2" s="110"/>
      <c r="M2" s="111"/>
      <c r="N2" s="111"/>
      <c r="O2" s="112"/>
      <c r="P2" s="112"/>
      <c r="Q2" s="112"/>
      <c r="R2" s="112"/>
      <c r="S2" s="112"/>
      <c r="T2" s="112"/>
      <c r="U2" s="112"/>
      <c r="V2" s="112"/>
      <c r="W2" s="112"/>
      <c r="X2" s="112"/>
      <c r="Y2" s="112"/>
    </row>
    <row r="3" spans="1:25" ht="24" customHeight="1">
      <c r="A3" s="120"/>
      <c r="B3" s="88"/>
      <c r="D3" s="89">
        <v>2020</v>
      </c>
      <c r="E3" s="89">
        <v>2030</v>
      </c>
      <c r="F3" s="89">
        <v>2050</v>
      </c>
      <c r="G3" s="113" t="s">
        <v>251</v>
      </c>
      <c r="H3" s="114"/>
      <c r="I3" s="113" t="s">
        <v>181</v>
      </c>
      <c r="J3" s="114"/>
      <c r="K3" s="89" t="s">
        <v>182</v>
      </c>
      <c r="L3" s="89" t="s">
        <v>1</v>
      </c>
      <c r="M3" s="3"/>
      <c r="N3" s="3"/>
      <c r="O3" s="4"/>
      <c r="P3" s="4"/>
      <c r="Q3" s="4"/>
      <c r="R3" s="3"/>
      <c r="S3" s="3"/>
      <c r="T3" s="4"/>
      <c r="U3" s="4"/>
      <c r="V3" s="4"/>
      <c r="W3" s="3"/>
      <c r="X3" s="3"/>
      <c r="Y3" s="4"/>
    </row>
    <row r="4" spans="1:25" ht="20.100000000000001" customHeight="1">
      <c r="A4" s="121" t="s">
        <v>149</v>
      </c>
      <c r="B4" s="89" t="s">
        <v>2</v>
      </c>
      <c r="D4" s="89"/>
      <c r="E4" s="89"/>
      <c r="F4" s="89"/>
      <c r="G4" s="89" t="s">
        <v>183</v>
      </c>
      <c r="H4" s="89" t="s">
        <v>184</v>
      </c>
      <c r="I4" s="89" t="s">
        <v>183</v>
      </c>
      <c r="J4" s="89" t="s">
        <v>184</v>
      </c>
      <c r="K4" s="89"/>
      <c r="L4" s="89"/>
      <c r="M4" s="3"/>
      <c r="N4" s="3"/>
      <c r="O4" s="4"/>
      <c r="P4" s="4"/>
      <c r="Q4" s="4"/>
      <c r="R4" s="3"/>
      <c r="S4" s="3"/>
      <c r="T4" s="4"/>
      <c r="U4" s="4"/>
      <c r="V4" s="4"/>
      <c r="W4" s="3"/>
      <c r="X4" s="3"/>
      <c r="Y4" s="4"/>
    </row>
    <row r="5" spans="1:25" s="2" customFormat="1" ht="20.100000000000001" customHeight="1">
      <c r="A5" s="100" t="s">
        <v>150</v>
      </c>
      <c r="B5" s="90" t="s">
        <v>3</v>
      </c>
      <c r="D5" s="107" t="s">
        <v>185</v>
      </c>
      <c r="E5" s="108"/>
      <c r="F5" s="109"/>
      <c r="G5" s="88"/>
      <c r="H5" s="88"/>
      <c r="I5" s="88"/>
      <c r="J5" s="88"/>
      <c r="K5" s="88"/>
      <c r="L5" s="88"/>
      <c r="M5" s="3"/>
      <c r="N5" s="3"/>
      <c r="O5" s="4"/>
      <c r="P5" s="4"/>
      <c r="Q5" s="4"/>
      <c r="R5" s="3"/>
      <c r="S5" s="3"/>
      <c r="T5" s="4"/>
      <c r="U5" s="4"/>
      <c r="V5" s="4"/>
      <c r="W5" s="3"/>
      <c r="X5" s="3"/>
      <c r="Y5" s="4"/>
    </row>
    <row r="6" spans="1:25" s="2" customFormat="1" ht="27.75" customHeight="1">
      <c r="A6" s="101" t="s">
        <v>151</v>
      </c>
      <c r="B6" s="90" t="s">
        <v>4</v>
      </c>
      <c r="D6" s="122" t="s">
        <v>250</v>
      </c>
      <c r="E6" s="123"/>
      <c r="F6" s="124"/>
      <c r="G6" s="88"/>
      <c r="H6" s="88"/>
      <c r="I6" s="88"/>
      <c r="J6" s="88"/>
      <c r="K6" s="88"/>
      <c r="L6" s="88"/>
      <c r="M6" s="3"/>
      <c r="N6" s="3"/>
      <c r="O6" s="4"/>
      <c r="P6" s="4"/>
      <c r="Q6" s="4"/>
      <c r="R6" s="3"/>
      <c r="S6" s="3"/>
      <c r="T6" s="4"/>
      <c r="U6" s="4"/>
      <c r="V6" s="4"/>
      <c r="W6" s="3"/>
      <c r="X6" s="3"/>
      <c r="Y6" s="4"/>
    </row>
    <row r="7" spans="1:25" s="2" customFormat="1" ht="20.100000000000001" customHeight="1">
      <c r="A7" s="101" t="s">
        <v>152</v>
      </c>
      <c r="B7" s="90" t="s">
        <v>5</v>
      </c>
      <c r="D7" s="91">
        <v>30</v>
      </c>
      <c r="E7" s="91">
        <v>30</v>
      </c>
      <c r="F7" s="91">
        <v>30</v>
      </c>
      <c r="G7" s="88">
        <v>30</v>
      </c>
      <c r="H7" s="88">
        <v>30</v>
      </c>
      <c r="I7" s="88">
        <v>30</v>
      </c>
      <c r="J7" s="88">
        <v>30</v>
      </c>
      <c r="K7" s="88"/>
      <c r="L7" s="88" t="s">
        <v>6</v>
      </c>
      <c r="M7" s="3"/>
      <c r="N7" s="3"/>
      <c r="O7" s="4"/>
      <c r="P7" s="4"/>
      <c r="Q7" s="4"/>
      <c r="R7" s="3"/>
      <c r="S7" s="3"/>
      <c r="T7" s="4"/>
      <c r="U7" s="4"/>
      <c r="V7" s="4"/>
      <c r="W7" s="3"/>
      <c r="X7" s="3"/>
      <c r="Y7" s="4"/>
    </row>
    <row r="8" spans="1:25" s="2" customFormat="1" ht="20.100000000000001" customHeight="1">
      <c r="A8" s="101" t="s">
        <v>153</v>
      </c>
      <c r="B8" s="90" t="s">
        <v>7</v>
      </c>
      <c r="D8" s="88">
        <v>15</v>
      </c>
      <c r="E8" s="88">
        <v>15</v>
      </c>
      <c r="F8" s="88">
        <v>15</v>
      </c>
      <c r="G8" s="88">
        <v>15</v>
      </c>
      <c r="H8" s="88">
        <v>15</v>
      </c>
      <c r="I8" s="88">
        <v>15</v>
      </c>
      <c r="J8" s="88">
        <v>15</v>
      </c>
      <c r="K8" s="88"/>
      <c r="L8" s="88" t="s">
        <v>6</v>
      </c>
      <c r="M8" s="3"/>
      <c r="N8" s="3"/>
      <c r="O8" s="4"/>
      <c r="P8" s="4"/>
      <c r="Q8" s="4"/>
      <c r="R8" s="3"/>
      <c r="S8" s="3"/>
      <c r="T8" s="4"/>
      <c r="U8" s="4"/>
      <c r="V8" s="4"/>
      <c r="W8" s="3"/>
      <c r="X8" s="3"/>
      <c r="Y8" s="4"/>
    </row>
    <row r="9" spans="1:25" s="2" customFormat="1" ht="20.100000000000001" customHeight="1">
      <c r="A9" s="101" t="s">
        <v>154</v>
      </c>
      <c r="B9" s="90" t="s">
        <v>8</v>
      </c>
      <c r="D9" s="88">
        <v>15</v>
      </c>
      <c r="E9" s="88">
        <v>15</v>
      </c>
      <c r="F9" s="88">
        <v>15</v>
      </c>
      <c r="G9" s="88">
        <v>15</v>
      </c>
      <c r="H9" s="88">
        <v>15</v>
      </c>
      <c r="I9" s="88">
        <v>15</v>
      </c>
      <c r="J9" s="88">
        <v>15</v>
      </c>
      <c r="K9" s="88" t="s">
        <v>9</v>
      </c>
      <c r="L9" s="88"/>
      <c r="M9" s="3"/>
      <c r="N9" s="3"/>
      <c r="O9" s="4"/>
      <c r="P9" s="4"/>
      <c r="Q9" s="4"/>
      <c r="R9" s="3"/>
      <c r="S9" s="3"/>
      <c r="T9" s="4"/>
      <c r="U9" s="4"/>
      <c r="V9" s="4"/>
      <c r="W9" s="3"/>
      <c r="X9" s="3"/>
      <c r="Y9" s="4"/>
    </row>
    <row r="10" spans="1:25" s="2" customFormat="1" ht="20.100000000000001" customHeight="1">
      <c r="A10" s="101" t="s">
        <v>155</v>
      </c>
      <c r="B10" s="90" t="s">
        <v>10</v>
      </c>
      <c r="D10" s="92">
        <v>82</v>
      </c>
      <c r="E10" s="88">
        <v>85</v>
      </c>
      <c r="F10" s="88">
        <v>85</v>
      </c>
      <c r="G10" s="88">
        <v>76</v>
      </c>
      <c r="H10" s="88">
        <v>93</v>
      </c>
      <c r="I10" s="88">
        <v>78</v>
      </c>
      <c r="J10" s="88">
        <v>96</v>
      </c>
      <c r="K10" s="88" t="s">
        <v>11</v>
      </c>
      <c r="L10" s="88" t="s">
        <v>93</v>
      </c>
      <c r="M10" s="3"/>
      <c r="N10" s="3"/>
      <c r="O10" s="4"/>
      <c r="P10" s="4"/>
      <c r="Q10" s="4"/>
      <c r="R10" s="3"/>
      <c r="S10" s="3"/>
      <c r="T10" s="4"/>
      <c r="U10" s="4"/>
      <c r="V10" s="4"/>
      <c r="W10" s="3"/>
      <c r="X10" s="3"/>
      <c r="Y10" s="4"/>
    </row>
    <row r="11" spans="1:25" s="2" customFormat="1" ht="20.100000000000001" customHeight="1">
      <c r="A11" s="102" t="s">
        <v>156</v>
      </c>
      <c r="B11" s="90" t="s">
        <v>147</v>
      </c>
      <c r="D11" s="91">
        <f>POWER(D10/100,0.5)*100</f>
        <v>90.553851381374159</v>
      </c>
      <c r="E11" s="91">
        <f t="shared" ref="E11:J11" si="0">POWER(E10/100,0.5)*100</f>
        <v>92.195444572928878</v>
      </c>
      <c r="F11" s="91">
        <f t="shared" si="0"/>
        <v>92.195444572928878</v>
      </c>
      <c r="G11" s="91">
        <f t="shared" si="0"/>
        <v>87.177978870813462</v>
      </c>
      <c r="H11" s="91">
        <f t="shared" si="0"/>
        <v>96.436507609929549</v>
      </c>
      <c r="I11" s="91">
        <f t="shared" si="0"/>
        <v>88.317608663278463</v>
      </c>
      <c r="J11" s="91">
        <f t="shared" si="0"/>
        <v>97.979589711327122</v>
      </c>
      <c r="K11" s="88"/>
      <c r="L11" s="88"/>
      <c r="M11" s="3"/>
      <c r="N11" s="3"/>
      <c r="O11" s="4"/>
      <c r="P11" s="4"/>
      <c r="Q11" s="4"/>
      <c r="R11" s="3"/>
      <c r="S11" s="3"/>
      <c r="T11" s="4"/>
      <c r="U11" s="4"/>
      <c r="V11" s="4"/>
      <c r="W11" s="3"/>
      <c r="X11" s="3"/>
      <c r="Y11" s="4"/>
    </row>
    <row r="12" spans="1:25" s="2" customFormat="1" ht="20.100000000000001" customHeight="1">
      <c r="A12" s="102" t="s">
        <v>157</v>
      </c>
      <c r="B12" s="93" t="s">
        <v>12</v>
      </c>
      <c r="D12" s="91">
        <f>D11</f>
        <v>90.553851381374159</v>
      </c>
      <c r="E12" s="91">
        <f t="shared" ref="E12:F12" si="1">E11</f>
        <v>92.195444572928878</v>
      </c>
      <c r="F12" s="91">
        <f t="shared" si="1"/>
        <v>92.195444572928878</v>
      </c>
      <c r="G12" s="91">
        <f>G11</f>
        <v>87.177978870813462</v>
      </c>
      <c r="H12" s="91">
        <f t="shared" ref="H12:J12" si="2">H11</f>
        <v>96.436507609929549</v>
      </c>
      <c r="I12" s="91">
        <f t="shared" si="2"/>
        <v>88.317608663278463</v>
      </c>
      <c r="J12" s="91">
        <f t="shared" si="2"/>
        <v>97.979589711327122</v>
      </c>
      <c r="K12" s="88"/>
      <c r="L12" s="88"/>
      <c r="M12" s="3"/>
      <c r="N12" s="3"/>
      <c r="O12" s="4"/>
      <c r="P12" s="4"/>
      <c r="Q12" s="4"/>
      <c r="R12" s="3"/>
      <c r="S12" s="3"/>
      <c r="T12" s="4"/>
      <c r="U12" s="4"/>
      <c r="V12" s="4"/>
      <c r="W12" s="3"/>
      <c r="X12" s="3"/>
      <c r="Y12" s="4"/>
    </row>
    <row r="13" spans="1:25" s="2" customFormat="1" ht="20.100000000000001" customHeight="1">
      <c r="A13" s="101" t="s">
        <v>158</v>
      </c>
      <c r="B13" s="90" t="s">
        <v>14</v>
      </c>
      <c r="D13" s="88">
        <v>0.3</v>
      </c>
      <c r="E13" s="88">
        <v>0.3</v>
      </c>
      <c r="F13" s="88">
        <v>0.3</v>
      </c>
      <c r="G13" s="88">
        <v>0.1</v>
      </c>
      <c r="H13" s="88">
        <v>0.4</v>
      </c>
      <c r="I13" s="88">
        <v>0.1</v>
      </c>
      <c r="J13" s="88">
        <v>0.4</v>
      </c>
      <c r="K13" s="88"/>
      <c r="L13" s="88" t="s">
        <v>15</v>
      </c>
      <c r="M13" s="3"/>
      <c r="N13" s="3"/>
      <c r="O13" s="4"/>
      <c r="P13" s="4"/>
      <c r="Q13" s="4"/>
      <c r="R13" s="3"/>
      <c r="S13" s="3"/>
      <c r="T13" s="4"/>
      <c r="U13" s="4"/>
      <c r="V13" s="4"/>
      <c r="W13" s="3"/>
      <c r="X13" s="3"/>
      <c r="Y13" s="4"/>
    </row>
    <row r="14" spans="1:25" s="2" customFormat="1" ht="20.100000000000001" customHeight="1">
      <c r="A14" s="101" t="s">
        <v>159</v>
      </c>
      <c r="B14" s="90" t="s">
        <v>16</v>
      </c>
      <c r="D14" s="88">
        <v>0</v>
      </c>
      <c r="E14" s="88">
        <v>0</v>
      </c>
      <c r="F14" s="88">
        <v>0</v>
      </c>
      <c r="G14" s="88">
        <v>0</v>
      </c>
      <c r="H14" s="88">
        <v>0.1</v>
      </c>
      <c r="I14" s="88">
        <v>0</v>
      </c>
      <c r="J14" s="88">
        <v>0.1</v>
      </c>
      <c r="K14" s="88" t="s">
        <v>17</v>
      </c>
      <c r="L14" s="88"/>
      <c r="M14" s="3"/>
      <c r="N14" s="3"/>
      <c r="O14" s="4"/>
      <c r="P14" s="4"/>
      <c r="Q14" s="4"/>
      <c r="R14" s="3"/>
      <c r="S14" s="3"/>
      <c r="T14" s="4"/>
      <c r="U14" s="4"/>
      <c r="V14" s="4"/>
      <c r="W14" s="3"/>
      <c r="X14" s="3"/>
      <c r="Y14" s="4"/>
    </row>
    <row r="15" spans="1:25" s="2" customFormat="1" ht="20.100000000000001" customHeight="1">
      <c r="A15" s="101" t="s">
        <v>160</v>
      </c>
      <c r="B15" s="90" t="s">
        <v>18</v>
      </c>
      <c r="D15" s="88">
        <v>0.2</v>
      </c>
      <c r="E15" s="88">
        <v>0.1</v>
      </c>
      <c r="F15" s="88">
        <v>0.1</v>
      </c>
      <c r="G15" s="88">
        <v>0.1</v>
      </c>
      <c r="H15" s="88">
        <v>0.3</v>
      </c>
      <c r="I15" s="88">
        <v>0</v>
      </c>
      <c r="J15" s="88">
        <v>0.2</v>
      </c>
      <c r="K15" s="88" t="s">
        <v>19</v>
      </c>
      <c r="L15" s="88"/>
      <c r="M15" s="3"/>
      <c r="N15" s="3"/>
      <c r="O15" s="4"/>
      <c r="P15" s="4"/>
      <c r="Q15" s="4"/>
      <c r="R15" s="3"/>
      <c r="S15" s="3"/>
      <c r="T15" s="4"/>
      <c r="U15" s="4"/>
      <c r="V15" s="4"/>
      <c r="W15" s="3"/>
      <c r="X15" s="3"/>
      <c r="Y15" s="4"/>
    </row>
    <row r="16" spans="1:25" s="2" customFormat="1" ht="20.100000000000001" customHeight="1">
      <c r="A16" s="101" t="s">
        <v>161</v>
      </c>
      <c r="B16" s="90" t="s">
        <v>20</v>
      </c>
      <c r="D16" s="88">
        <v>13</v>
      </c>
      <c r="E16" s="91">
        <v>13</v>
      </c>
      <c r="F16" s="91">
        <v>13</v>
      </c>
      <c r="G16" s="91">
        <f>$D$16+($D$16*Uncertanties!K3)</f>
        <v>4.3333333333333321</v>
      </c>
      <c r="H16" s="91">
        <f>$D$16+($D$16*Uncertanties!L3)</f>
        <v>21.797979797979799</v>
      </c>
      <c r="I16" s="91">
        <f>$E$16+($E$16*Uncertanties!K3)</f>
        <v>4.3333333333333321</v>
      </c>
      <c r="J16" s="91">
        <f>$E$16+($E$16*Uncertanties!L3)</f>
        <v>21.797979797979799</v>
      </c>
      <c r="K16" s="88" t="s">
        <v>186</v>
      </c>
      <c r="L16" s="88" t="s">
        <v>94</v>
      </c>
      <c r="M16" s="3"/>
      <c r="N16" s="3"/>
      <c r="O16" s="4"/>
      <c r="P16" s="4"/>
      <c r="Q16" s="4"/>
      <c r="R16" s="3"/>
      <c r="S16" s="3"/>
      <c r="T16" s="4"/>
      <c r="U16" s="4"/>
      <c r="V16" s="4"/>
      <c r="W16" s="3"/>
      <c r="X16" s="3"/>
      <c r="Y16" s="4"/>
    </row>
    <row r="17" spans="1:25" s="2" customFormat="1" ht="20.100000000000001" customHeight="1">
      <c r="A17" s="101" t="s">
        <v>162</v>
      </c>
      <c r="B17" s="90" t="s">
        <v>21</v>
      </c>
      <c r="D17" s="88">
        <v>1</v>
      </c>
      <c r="E17" s="88">
        <v>1</v>
      </c>
      <c r="F17" s="88">
        <v>1</v>
      </c>
      <c r="G17" s="88">
        <v>1</v>
      </c>
      <c r="H17" s="88">
        <v>1</v>
      </c>
      <c r="I17" s="88">
        <v>1</v>
      </c>
      <c r="J17" s="88">
        <v>1</v>
      </c>
      <c r="K17" s="88"/>
      <c r="L17" s="88" t="s">
        <v>22</v>
      </c>
      <c r="M17" s="3"/>
      <c r="N17" s="3"/>
      <c r="O17" s="4"/>
      <c r="P17" s="4"/>
      <c r="Q17" s="4"/>
      <c r="R17" s="3"/>
      <c r="S17" s="3"/>
      <c r="T17" s="4"/>
      <c r="U17" s="4"/>
      <c r="V17" s="4"/>
      <c r="W17" s="3"/>
      <c r="X17" s="3"/>
      <c r="Y17" s="4"/>
    </row>
    <row r="18" spans="1:25" s="2" customFormat="1" ht="20.100000000000001" customHeight="1">
      <c r="A18" s="101" t="s">
        <v>163</v>
      </c>
      <c r="B18" s="94" t="s">
        <v>38</v>
      </c>
      <c r="D18" s="88">
        <f>ROUND(Data!H22,-2)</f>
        <v>1900</v>
      </c>
      <c r="E18" s="88">
        <f>ROUND(Data!J22,-2)</f>
        <v>3200</v>
      </c>
      <c r="F18" s="91">
        <f>ROUND(Data!L22,-2)</f>
        <v>9600</v>
      </c>
      <c r="G18" s="91">
        <f>ROUND(311,-2)</f>
        <v>300</v>
      </c>
      <c r="H18" s="91">
        <f>ROUND(3111,-2)</f>
        <v>3100</v>
      </c>
      <c r="I18" s="88">
        <f>ROUND(G18/$D18*$E18,-3)</f>
        <v>1000</v>
      </c>
      <c r="J18" s="88">
        <f>ROUND(H18/$D18*$E18,-3)</f>
        <v>5000</v>
      </c>
      <c r="K18" s="88"/>
      <c r="L18" s="88" t="s">
        <v>6</v>
      </c>
      <c r="M18" s="3"/>
      <c r="N18" s="3"/>
      <c r="O18" s="4"/>
      <c r="P18" s="4"/>
      <c r="Q18" s="4"/>
      <c r="R18" s="3"/>
      <c r="S18" s="3"/>
      <c r="T18" s="4"/>
      <c r="U18" s="4"/>
      <c r="V18" s="4"/>
      <c r="W18" s="3"/>
      <c r="X18" s="3"/>
      <c r="Y18" s="4"/>
    </row>
    <row r="19" spans="1:25" s="2" customFormat="1" ht="20.100000000000001" customHeight="1">
      <c r="A19" s="103" t="s">
        <v>164</v>
      </c>
      <c r="B19" s="87" t="s">
        <v>23</v>
      </c>
      <c r="D19" s="87"/>
      <c r="E19" s="87"/>
      <c r="F19" s="87"/>
      <c r="G19" s="87"/>
      <c r="H19" s="87"/>
      <c r="I19" s="87"/>
      <c r="J19" s="87"/>
      <c r="K19" s="87"/>
      <c r="L19" s="87"/>
      <c r="M19" s="3"/>
      <c r="N19" s="3"/>
      <c r="O19" s="4"/>
      <c r="P19" s="4"/>
      <c r="Q19" s="4"/>
      <c r="R19" s="3"/>
      <c r="S19" s="3"/>
      <c r="T19" s="4"/>
      <c r="U19" s="4"/>
      <c r="V19" s="4"/>
      <c r="W19" s="3"/>
      <c r="X19" s="3"/>
      <c r="Y19" s="4"/>
    </row>
    <row r="20" spans="1:25" s="2" customFormat="1" ht="20.100000000000001" customHeight="1">
      <c r="A20" s="101" t="s">
        <v>165</v>
      </c>
      <c r="B20" s="90" t="s">
        <v>24</v>
      </c>
      <c r="D20" s="88">
        <v>1E-3</v>
      </c>
      <c r="E20" s="88">
        <v>1E-3</v>
      </c>
      <c r="F20" s="88">
        <v>1E-3</v>
      </c>
      <c r="G20" s="88">
        <v>1E-3</v>
      </c>
      <c r="H20" s="88">
        <v>1E-3</v>
      </c>
      <c r="I20" s="88">
        <v>1E-3</v>
      </c>
      <c r="J20" s="88">
        <v>1E-3</v>
      </c>
      <c r="K20" s="88" t="s">
        <v>25</v>
      </c>
      <c r="L20" s="88"/>
      <c r="M20" s="3"/>
      <c r="N20" s="3"/>
      <c r="O20" s="4"/>
      <c r="P20" s="4"/>
      <c r="Q20" s="4"/>
      <c r="R20" s="3"/>
      <c r="S20" s="3"/>
      <c r="T20" s="4"/>
      <c r="U20" s="4"/>
      <c r="V20" s="4"/>
      <c r="W20" s="3"/>
      <c r="X20" s="3"/>
      <c r="Y20" s="4"/>
    </row>
    <row r="21" spans="1:25" s="2" customFormat="1" ht="20.100000000000001" customHeight="1">
      <c r="A21" s="101" t="s">
        <v>166</v>
      </c>
      <c r="B21" s="90" t="s">
        <v>26</v>
      </c>
      <c r="D21" s="88">
        <v>1E-3</v>
      </c>
      <c r="E21" s="88">
        <v>1E-3</v>
      </c>
      <c r="F21" s="88">
        <v>1E-3</v>
      </c>
      <c r="G21" s="88">
        <v>1E-3</v>
      </c>
      <c r="H21" s="88">
        <v>1E-3</v>
      </c>
      <c r="I21" s="88">
        <v>1E-3</v>
      </c>
      <c r="J21" s="88">
        <v>1E-3</v>
      </c>
      <c r="K21" s="88"/>
      <c r="L21" s="88" t="s">
        <v>27</v>
      </c>
      <c r="M21" s="3"/>
      <c r="N21" s="3"/>
      <c r="O21" s="4"/>
      <c r="P21" s="4"/>
      <c r="Q21" s="4"/>
      <c r="R21" s="3"/>
      <c r="S21" s="3"/>
      <c r="T21" s="4"/>
      <c r="U21" s="4"/>
      <c r="V21" s="4"/>
      <c r="W21" s="3"/>
      <c r="X21" s="3"/>
      <c r="Y21" s="4"/>
    </row>
    <row r="22" spans="1:25" s="2" customFormat="1" ht="20.100000000000001" customHeight="1">
      <c r="A22" s="103" t="s">
        <v>167</v>
      </c>
      <c r="B22" s="87" t="s">
        <v>28</v>
      </c>
      <c r="D22" s="87"/>
      <c r="E22" s="87"/>
      <c r="F22" s="87"/>
      <c r="G22" s="87"/>
      <c r="H22" s="87"/>
      <c r="I22" s="87"/>
      <c r="J22" s="87"/>
      <c r="K22" s="87"/>
      <c r="L22" s="87"/>
      <c r="M22" s="3"/>
      <c r="N22" s="3"/>
      <c r="O22" s="4"/>
      <c r="P22" s="4"/>
      <c r="Q22" s="4"/>
      <c r="R22" s="3"/>
      <c r="S22" s="3"/>
      <c r="T22" s="4"/>
      <c r="U22" s="4"/>
      <c r="V22" s="4"/>
      <c r="W22" s="3"/>
      <c r="X22" s="3"/>
      <c r="Y22" s="4"/>
    </row>
    <row r="23" spans="1:25" s="2" customFormat="1" ht="20.100000000000001" customHeight="1">
      <c r="A23" s="101" t="s">
        <v>173</v>
      </c>
      <c r="B23" s="90" t="s">
        <v>29</v>
      </c>
      <c r="D23" s="95">
        <f>((D24+D26)*D7+D25*D8)/D7</f>
        <v>0.55349999999999999</v>
      </c>
      <c r="E23" s="95">
        <f t="shared" ref="E23:J23" si="3">((E24+E26)*E7+E25*E8)/E7</f>
        <v>0.33224014084507048</v>
      </c>
      <c r="F23" s="95">
        <f t="shared" si="3"/>
        <v>0.11983568400954078</v>
      </c>
      <c r="G23" s="95">
        <f t="shared" si="3"/>
        <v>0.38488749999999999</v>
      </c>
      <c r="H23" s="95">
        <f t="shared" si="3"/>
        <v>0.76441250000000005</v>
      </c>
      <c r="I23" s="95">
        <f t="shared" si="3"/>
        <v>0.23008952464788734</v>
      </c>
      <c r="J23" s="95">
        <f t="shared" si="3"/>
        <v>0.46069075704225354</v>
      </c>
      <c r="K23" s="88"/>
      <c r="L23" s="88"/>
      <c r="M23" s="3"/>
      <c r="N23" s="3"/>
      <c r="O23" s="4"/>
      <c r="P23" s="4"/>
      <c r="Q23" s="4"/>
      <c r="R23" s="3"/>
      <c r="S23" s="3"/>
      <c r="T23" s="4"/>
      <c r="U23" s="4"/>
      <c r="V23" s="4"/>
      <c r="W23" s="3"/>
      <c r="X23" s="3"/>
      <c r="Y23" s="4"/>
    </row>
    <row r="24" spans="1:25" s="2" customFormat="1" ht="20.100000000000001" customHeight="1">
      <c r="A24" s="101" t="s">
        <v>168</v>
      </c>
      <c r="B24" s="90" t="s">
        <v>31</v>
      </c>
      <c r="D24" s="95">
        <v>0.216</v>
      </c>
      <c r="E24" s="96">
        <f>Data!J17</f>
        <v>0.1318</v>
      </c>
      <c r="F24" s="96">
        <f>Data!L17</f>
        <v>4.9222953614367432E-2</v>
      </c>
      <c r="G24" s="95">
        <v>8.6199999999999999E-2</v>
      </c>
      <c r="H24" s="95">
        <v>0.3881</v>
      </c>
      <c r="I24" s="95">
        <v>5.2699999999999997E-2</v>
      </c>
      <c r="J24" s="95">
        <v>0.23719999999999999</v>
      </c>
      <c r="K24" s="88" t="s">
        <v>30</v>
      </c>
      <c r="L24" s="88" t="s">
        <v>6</v>
      </c>
      <c r="M24" s="3"/>
      <c r="N24" s="3"/>
      <c r="O24" s="4"/>
      <c r="P24" s="4"/>
      <c r="Q24" s="4"/>
      <c r="R24" s="4"/>
      <c r="S24" s="4"/>
      <c r="T24" s="4"/>
      <c r="U24" s="4"/>
      <c r="V24" s="4"/>
      <c r="W24" s="4"/>
      <c r="X24" s="4"/>
      <c r="Y24" s="4"/>
    </row>
    <row r="25" spans="1:25" ht="20.100000000000001" customHeight="1">
      <c r="A25" s="101" t="s">
        <v>174</v>
      </c>
      <c r="B25" s="90" t="s">
        <v>33</v>
      </c>
      <c r="D25" s="95">
        <v>0.67500000000000004</v>
      </c>
      <c r="E25" s="96">
        <f>Data!Q18</f>
        <v>0.40088028169014089</v>
      </c>
      <c r="F25" s="96">
        <f>Data!R18</f>
        <v>0.14122546079034673</v>
      </c>
      <c r="G25" s="95">
        <f>D25-(D25*0.115)</f>
        <v>0.59737499999999999</v>
      </c>
      <c r="H25" s="95">
        <f>D25+(D25*0.115)</f>
        <v>0.7526250000000001</v>
      </c>
      <c r="I25" s="95">
        <f>$E$25-($E$25*0.115)</f>
        <v>0.3547790492957747</v>
      </c>
      <c r="J25" s="95">
        <f>$E$25+($E$25*0.115)</f>
        <v>0.44698151408450709</v>
      </c>
      <c r="K25" s="88" t="s">
        <v>32</v>
      </c>
      <c r="L25" s="88" t="s">
        <v>66</v>
      </c>
      <c r="M25" s="3"/>
      <c r="N25" s="3"/>
      <c r="O25" s="4"/>
      <c r="P25" s="4"/>
      <c r="Q25" s="4"/>
      <c r="R25" s="3"/>
      <c r="S25" s="3"/>
      <c r="T25" s="4"/>
      <c r="U25" s="4"/>
      <c r="V25" s="4"/>
      <c r="W25" s="3"/>
      <c r="X25" s="3"/>
      <c r="Y25" s="4"/>
    </row>
    <row r="26" spans="1:25" ht="20.100000000000001" customHeight="1">
      <c r="A26" s="101" t="s">
        <v>175</v>
      </c>
      <c r="B26" s="90" t="s">
        <v>35</v>
      </c>
      <c r="D26" s="97">
        <v>0</v>
      </c>
      <c r="E26" s="97">
        <v>0</v>
      </c>
      <c r="F26" s="97">
        <v>0</v>
      </c>
      <c r="G26" s="97">
        <v>0</v>
      </c>
      <c r="H26" s="97">
        <v>0</v>
      </c>
      <c r="I26" s="97">
        <v>0</v>
      </c>
      <c r="J26" s="97">
        <v>0</v>
      </c>
      <c r="K26" s="88"/>
      <c r="L26" s="88"/>
      <c r="M26" s="3"/>
      <c r="N26" s="3"/>
      <c r="O26" s="4"/>
      <c r="P26" s="4"/>
      <c r="Q26" s="4"/>
      <c r="R26" s="3"/>
      <c r="S26" s="3"/>
      <c r="T26" s="4"/>
      <c r="U26" s="4"/>
      <c r="V26" s="4"/>
      <c r="W26" s="3"/>
      <c r="X26" s="3"/>
      <c r="Y26" s="4"/>
    </row>
    <row r="27" spans="1:25" ht="20.100000000000001" customHeight="1">
      <c r="A27" s="101" t="s">
        <v>169</v>
      </c>
      <c r="B27" s="90" t="s">
        <v>65</v>
      </c>
      <c r="D27" s="98">
        <f>3.4*1.11</f>
        <v>3.774</v>
      </c>
      <c r="E27" s="98">
        <f t="shared" ref="E27:F27" si="4">3.4*1.11</f>
        <v>3.774</v>
      </c>
      <c r="F27" s="98">
        <f t="shared" si="4"/>
        <v>3.774</v>
      </c>
      <c r="G27" s="98">
        <f>3.2*1.11</f>
        <v>3.5520000000000005</v>
      </c>
      <c r="H27" s="97">
        <f>13*1.11</f>
        <v>14.430000000000001</v>
      </c>
      <c r="I27" s="98">
        <f>G27</f>
        <v>3.5520000000000005</v>
      </c>
      <c r="J27" s="97">
        <f>H27</f>
        <v>14.430000000000001</v>
      </c>
      <c r="K27" s="88"/>
      <c r="L27" s="88" t="s">
        <v>46</v>
      </c>
      <c r="M27" s="3"/>
      <c r="N27" s="3"/>
      <c r="O27" s="4"/>
      <c r="P27" s="4"/>
      <c r="Q27" s="4"/>
      <c r="R27" s="3"/>
      <c r="S27" s="3"/>
      <c r="T27" s="4"/>
      <c r="U27" s="4"/>
      <c r="V27" s="4"/>
      <c r="W27" s="3"/>
      <c r="X27" s="3"/>
      <c r="Y27" s="4"/>
    </row>
    <row r="28" spans="1:25" ht="20.100000000000001" customHeight="1">
      <c r="A28" s="101" t="s">
        <v>176</v>
      </c>
      <c r="B28" s="90" t="s">
        <v>52</v>
      </c>
      <c r="D28" s="98">
        <f>0.37*1.11</f>
        <v>0.41070000000000001</v>
      </c>
      <c r="E28" s="98">
        <f t="shared" ref="E28:F28" si="5">0.37*1.11</f>
        <v>0.41070000000000001</v>
      </c>
      <c r="F28" s="98">
        <f t="shared" si="5"/>
        <v>0.41070000000000001</v>
      </c>
      <c r="G28" s="98">
        <f>0.15*1.11</f>
        <v>0.16650000000000001</v>
      </c>
      <c r="H28" s="98">
        <f>0.52*1.11</f>
        <v>0.57720000000000005</v>
      </c>
      <c r="I28" s="98">
        <f>G28</f>
        <v>0.16650000000000001</v>
      </c>
      <c r="J28" s="98">
        <f>H28</f>
        <v>0.57720000000000005</v>
      </c>
      <c r="K28" s="88"/>
      <c r="L28" s="88" t="s">
        <v>46</v>
      </c>
      <c r="M28" s="3"/>
      <c r="N28" s="3"/>
      <c r="O28" s="4"/>
      <c r="P28" s="4"/>
      <c r="Q28" s="4"/>
      <c r="R28" s="3"/>
      <c r="S28" s="3"/>
      <c r="T28" s="4"/>
      <c r="U28" s="4"/>
      <c r="V28" s="4"/>
      <c r="W28" s="3"/>
      <c r="X28" s="3"/>
      <c r="Y28" s="4"/>
    </row>
    <row r="29" spans="1:25" ht="20.100000000000001" customHeight="1">
      <c r="A29" s="103" t="s">
        <v>170</v>
      </c>
      <c r="B29" s="87" t="s">
        <v>36</v>
      </c>
      <c r="D29" s="87"/>
      <c r="E29" s="87"/>
      <c r="F29" s="87"/>
      <c r="G29" s="87"/>
      <c r="H29" s="87"/>
      <c r="I29" s="87"/>
      <c r="J29" s="87"/>
      <c r="K29" s="87"/>
      <c r="L29" s="87"/>
      <c r="M29" s="3"/>
      <c r="N29" s="3"/>
      <c r="O29" s="4"/>
      <c r="P29" s="4"/>
      <c r="Q29" s="4"/>
      <c r="R29" s="3"/>
      <c r="S29" s="3"/>
      <c r="T29" s="4"/>
      <c r="U29" s="4"/>
      <c r="V29" s="4"/>
      <c r="W29" s="3"/>
      <c r="X29" s="3"/>
      <c r="Y29" s="4"/>
    </row>
    <row r="30" spans="1:25" ht="20.100000000000001" customHeight="1">
      <c r="A30" s="101" t="s">
        <v>177</v>
      </c>
      <c r="B30" s="90" t="s">
        <v>37</v>
      </c>
      <c r="D30" s="95">
        <f>(D24*D7+D25*D8)/D8</f>
        <v>1.107</v>
      </c>
      <c r="E30" s="95">
        <f t="shared" ref="E30:J30" si="6">(E24*E7+E25*E8)/E8</f>
        <v>0.66448028169014095</v>
      </c>
      <c r="F30" s="95">
        <f t="shared" si="6"/>
        <v>0.23967136801908157</v>
      </c>
      <c r="G30" s="95">
        <f t="shared" si="6"/>
        <v>0.76977499999999999</v>
      </c>
      <c r="H30" s="95">
        <f t="shared" si="6"/>
        <v>1.5288250000000001</v>
      </c>
      <c r="I30" s="95">
        <f>(I24*I7+I25*I8)/I8</f>
        <v>0.46017904929577469</v>
      </c>
      <c r="J30" s="95">
        <f t="shared" si="6"/>
        <v>0.92138151408450708</v>
      </c>
      <c r="K30" s="88"/>
      <c r="L30" s="88"/>
      <c r="M30" s="3"/>
      <c r="N30" s="3"/>
      <c r="O30" s="4"/>
      <c r="P30" s="4"/>
      <c r="Q30" s="4"/>
      <c r="R30" s="3"/>
      <c r="S30" s="3"/>
      <c r="T30" s="4"/>
      <c r="U30" s="4"/>
      <c r="V30" s="4"/>
      <c r="W30" s="3"/>
      <c r="X30" s="3"/>
      <c r="Y30" s="4"/>
    </row>
    <row r="31" spans="1:25" ht="20.100000000000001" customHeight="1">
      <c r="A31" s="104" t="s">
        <v>171</v>
      </c>
      <c r="B31" s="90" t="s">
        <v>40</v>
      </c>
      <c r="D31" s="91">
        <f t="shared" ref="D31:F32" si="7">D33/($D$7/$D$8)</f>
        <v>22.232142857142858</v>
      </c>
      <c r="E31" s="91">
        <f t="shared" si="7"/>
        <v>29.642857142857142</v>
      </c>
      <c r="F31" s="91">
        <f t="shared" si="7"/>
        <v>52.704875919266385</v>
      </c>
      <c r="G31" s="91">
        <f t="shared" ref="G31:J31" si="8">G33/($D$7/$D$8)</f>
        <v>14.626409774436091</v>
      </c>
      <c r="H31" s="91">
        <f t="shared" si="8"/>
        <v>29.252819548872182</v>
      </c>
      <c r="I31" s="91">
        <f t="shared" si="8"/>
        <v>23.714285714285715</v>
      </c>
      <c r="J31" s="91">
        <f t="shared" si="8"/>
        <v>35.571428571428569</v>
      </c>
      <c r="K31" s="88" t="s">
        <v>34</v>
      </c>
      <c r="L31" s="88" t="s">
        <v>142</v>
      </c>
      <c r="M31" s="3"/>
      <c r="N31" s="3"/>
      <c r="O31" s="4"/>
      <c r="P31" s="4"/>
      <c r="Q31" s="4"/>
      <c r="R31" s="3"/>
      <c r="S31" s="3"/>
      <c r="T31" s="4"/>
      <c r="U31" s="4"/>
      <c r="V31" s="4"/>
      <c r="W31" s="3"/>
      <c r="X31" s="3"/>
      <c r="Y31" s="4"/>
    </row>
    <row r="32" spans="1:25" ht="20.100000000000001" customHeight="1">
      <c r="A32" s="101" t="s">
        <v>178</v>
      </c>
      <c r="B32" s="90" t="s">
        <v>64</v>
      </c>
      <c r="D32" s="91">
        <f t="shared" si="7"/>
        <v>55.606869703948142</v>
      </c>
      <c r="E32" s="91">
        <f t="shared" si="7"/>
        <v>108.43339592269888</v>
      </c>
      <c r="F32" s="91">
        <f t="shared" si="7"/>
        <v>214.08644836020036</v>
      </c>
      <c r="G32" s="91">
        <f t="shared" ref="G32:J32" si="9">G34/($D$7/$D$8)</f>
        <v>33.364121822368887</v>
      </c>
      <c r="H32" s="91">
        <f t="shared" si="9"/>
        <v>77.849617585527398</v>
      </c>
      <c r="I32" s="91">
        <f t="shared" si="9"/>
        <v>77.849617585527398</v>
      </c>
      <c r="J32" s="91">
        <f t="shared" si="9"/>
        <v>139.01717425987033</v>
      </c>
      <c r="K32" s="88" t="s">
        <v>34</v>
      </c>
      <c r="L32" s="88" t="s">
        <v>142</v>
      </c>
      <c r="M32" s="3"/>
      <c r="N32" s="3"/>
      <c r="O32" s="4"/>
      <c r="P32" s="4"/>
      <c r="Q32" s="4"/>
      <c r="R32" s="3"/>
      <c r="S32" s="3"/>
      <c r="T32" s="4"/>
      <c r="U32" s="4"/>
      <c r="V32" s="4"/>
      <c r="W32" s="3"/>
      <c r="X32" s="3"/>
      <c r="Y32" s="4"/>
    </row>
    <row r="33" spans="1:25" ht="20.100000000000001" customHeight="1">
      <c r="A33" s="101" t="s">
        <v>172</v>
      </c>
      <c r="B33" s="90" t="s">
        <v>41</v>
      </c>
      <c r="D33" s="91">
        <f>(Data!$F$36*1000)/Data!F34</f>
        <v>44.464285714285715</v>
      </c>
      <c r="E33" s="91">
        <f>Data!Q25</f>
        <v>59.285714285714285</v>
      </c>
      <c r="F33" s="91">
        <f>Data!R25</f>
        <v>105.40975183853277</v>
      </c>
      <c r="G33" s="91">
        <f>$D$33*(1+Uncertanties!K4)</f>
        <v>29.252819548872182</v>
      </c>
      <c r="H33" s="91">
        <f>$D$33*(1+Uncertanties!L4)</f>
        <v>58.505639097744364</v>
      </c>
      <c r="I33" s="91">
        <f>$E$33*(1+Uncertanties!M4)</f>
        <v>47.428571428571431</v>
      </c>
      <c r="J33" s="91">
        <f>$E$33*(1+Uncertanties!N4)</f>
        <v>71.142857142857139</v>
      </c>
      <c r="K33" s="88" t="s">
        <v>34</v>
      </c>
      <c r="L33" s="88" t="s">
        <v>142</v>
      </c>
      <c r="M33" s="3"/>
      <c r="N33" s="3"/>
      <c r="O33" s="4"/>
      <c r="P33" s="4"/>
      <c r="Q33" s="4"/>
      <c r="R33" s="3"/>
      <c r="S33" s="3"/>
      <c r="T33" s="4"/>
      <c r="U33" s="4"/>
      <c r="V33" s="4"/>
      <c r="W33" s="3"/>
      <c r="X33" s="3"/>
      <c r="Y33" s="4"/>
    </row>
    <row r="34" spans="1:25" ht="20.100000000000001" customHeight="1">
      <c r="A34" s="101" t="s">
        <v>179</v>
      </c>
      <c r="B34" s="90" t="s">
        <v>63</v>
      </c>
      <c r="D34" s="91">
        <f>(Data!$F$36)/Data!F35</f>
        <v>111.21373940789628</v>
      </c>
      <c r="E34" s="91">
        <f>Data!Q26</f>
        <v>216.86679184539776</v>
      </c>
      <c r="F34" s="91">
        <f>Data!R26</f>
        <v>428.17289672040073</v>
      </c>
      <c r="G34" s="91">
        <f>$D$34*(1+Uncertanties!K5)</f>
        <v>66.728243644737773</v>
      </c>
      <c r="H34" s="91">
        <f>$D$34*(1+Uncertanties!L5)</f>
        <v>155.6992351710548</v>
      </c>
      <c r="I34" s="91">
        <f>$E$34*(1+Uncertanties!M5)</f>
        <v>155.6992351710548</v>
      </c>
      <c r="J34" s="91">
        <f>$E$34*(1+Uncertanties!N5)</f>
        <v>278.03434851974066</v>
      </c>
      <c r="K34" s="88" t="s">
        <v>34</v>
      </c>
      <c r="L34" s="88" t="s">
        <v>142</v>
      </c>
      <c r="M34" s="3"/>
      <c r="N34" s="3"/>
      <c r="O34" s="4"/>
      <c r="P34" s="4"/>
      <c r="Q34" s="4"/>
      <c r="R34" s="3"/>
      <c r="S34" s="3"/>
      <c r="T34" s="4"/>
      <c r="U34" s="4"/>
      <c r="V34" s="4"/>
      <c r="W34" s="3"/>
      <c r="X34" s="3"/>
      <c r="Y34" s="4"/>
    </row>
    <row r="35" spans="1:25" ht="18.75" customHeight="1">
      <c r="C35" s="2"/>
      <c r="D35" s="2"/>
      <c r="E35" s="2"/>
      <c r="F35" s="2"/>
      <c r="G35" s="2"/>
      <c r="H35" s="2"/>
      <c r="I35" s="2"/>
      <c r="J35" s="2"/>
      <c r="K35" s="2"/>
      <c r="L35" s="2"/>
      <c r="N35" s="2"/>
      <c r="O35" s="2"/>
      <c r="P35" s="2"/>
      <c r="Q35" s="2"/>
      <c r="R35" s="2"/>
      <c r="S35" s="2"/>
      <c r="T35" s="2"/>
      <c r="U35" s="2"/>
      <c r="V35" s="2"/>
      <c r="W35" s="2"/>
      <c r="X35" s="2"/>
      <c r="Y35" s="2"/>
    </row>
    <row r="36" spans="1:25">
      <c r="D36" s="118" t="s">
        <v>195</v>
      </c>
      <c r="E36" s="19"/>
      <c r="F36" s="20"/>
      <c r="G36" s="20"/>
      <c r="H36" s="20"/>
      <c r="I36" s="6"/>
      <c r="J36" s="6"/>
      <c r="K36" s="6"/>
      <c r="L36" s="7"/>
      <c r="M36" s="8"/>
      <c r="N36" s="12"/>
      <c r="O36" s="12"/>
      <c r="P36" s="12"/>
      <c r="Q36" s="12"/>
      <c r="R36" s="12"/>
      <c r="S36" s="12"/>
      <c r="T36" s="12"/>
      <c r="U36" s="12"/>
      <c r="V36" s="12"/>
      <c r="W36" s="13"/>
    </row>
    <row r="37" spans="1:25">
      <c r="C37" s="21" t="s">
        <v>9</v>
      </c>
      <c r="D37" s="19" t="s">
        <v>187</v>
      </c>
      <c r="E37" s="19"/>
      <c r="F37" s="20"/>
      <c r="G37" s="20"/>
      <c r="H37" s="20"/>
      <c r="I37" s="6"/>
      <c r="J37" s="6"/>
      <c r="K37" s="6"/>
      <c r="L37" s="7"/>
      <c r="M37" s="8"/>
      <c r="N37" s="12"/>
      <c r="O37" s="12"/>
      <c r="P37" s="12"/>
      <c r="Q37" s="12"/>
      <c r="R37" s="12"/>
      <c r="S37" s="12"/>
      <c r="T37" s="12"/>
      <c r="U37" s="12"/>
      <c r="V37" s="12"/>
      <c r="W37" s="13"/>
    </row>
    <row r="38" spans="1:25">
      <c r="C38" s="21" t="s">
        <v>11</v>
      </c>
      <c r="D38" s="19" t="s">
        <v>188</v>
      </c>
      <c r="E38" s="19"/>
      <c r="F38" s="20"/>
      <c r="G38" s="20"/>
      <c r="H38" s="20"/>
      <c r="I38" s="6"/>
      <c r="J38" s="6"/>
      <c r="K38" s="6"/>
      <c r="L38" s="7"/>
      <c r="M38" s="9"/>
      <c r="N38" s="12"/>
      <c r="O38" s="12"/>
      <c r="P38" s="12"/>
      <c r="Q38" s="12"/>
      <c r="R38" s="12"/>
      <c r="S38" s="12"/>
      <c r="T38" s="12"/>
      <c r="U38" s="12"/>
      <c r="V38" s="12"/>
      <c r="W38" s="13"/>
    </row>
    <row r="39" spans="1:25">
      <c r="C39" s="21" t="s">
        <v>17</v>
      </c>
      <c r="D39" s="19" t="s">
        <v>189</v>
      </c>
      <c r="E39" s="19"/>
      <c r="F39" s="22"/>
      <c r="G39" s="22"/>
      <c r="H39" s="22"/>
      <c r="I39" s="10"/>
      <c r="J39" s="10"/>
      <c r="K39" s="10"/>
      <c r="L39" s="10"/>
      <c r="M39" s="11"/>
      <c r="N39" s="12"/>
      <c r="O39" s="12"/>
      <c r="P39" s="12"/>
      <c r="Q39" s="12"/>
      <c r="R39" s="12"/>
      <c r="S39" s="12"/>
      <c r="T39" s="12"/>
      <c r="U39" s="12"/>
      <c r="V39" s="12"/>
      <c r="W39" s="13"/>
    </row>
    <row r="40" spans="1:25">
      <c r="C40" s="21" t="s">
        <v>19</v>
      </c>
      <c r="D40" s="19" t="s">
        <v>190</v>
      </c>
      <c r="E40" s="19"/>
      <c r="F40" s="22"/>
      <c r="G40" s="22"/>
      <c r="H40" s="22"/>
      <c r="I40" s="10"/>
      <c r="J40" s="10"/>
      <c r="K40" s="10"/>
      <c r="L40" s="10"/>
      <c r="M40" s="11"/>
      <c r="N40" s="12"/>
      <c r="O40" s="12"/>
      <c r="P40" s="12"/>
      <c r="Q40" s="12"/>
      <c r="R40" s="12"/>
      <c r="S40" s="12"/>
      <c r="T40" s="12"/>
      <c r="U40" s="12"/>
      <c r="V40" s="12"/>
      <c r="W40" s="13"/>
    </row>
    <row r="41" spans="1:25">
      <c r="C41" s="21" t="s">
        <v>25</v>
      </c>
      <c r="D41" s="19" t="s">
        <v>191</v>
      </c>
      <c r="E41" s="19"/>
      <c r="F41" s="22"/>
      <c r="G41" s="22"/>
      <c r="H41" s="22"/>
      <c r="I41" s="10"/>
      <c r="J41" s="10"/>
      <c r="K41" s="10"/>
      <c r="L41" s="10"/>
      <c r="M41" s="7"/>
      <c r="N41" s="12"/>
      <c r="O41" s="12"/>
      <c r="P41" s="12"/>
      <c r="Q41" s="12"/>
      <c r="R41" s="12"/>
      <c r="S41" s="12"/>
      <c r="T41" s="12"/>
      <c r="U41" s="12"/>
      <c r="V41" s="12"/>
      <c r="W41" s="13"/>
    </row>
    <row r="42" spans="1:25">
      <c r="C42" s="21" t="s">
        <v>30</v>
      </c>
      <c r="D42" s="23" t="s">
        <v>192</v>
      </c>
      <c r="E42" s="19"/>
      <c r="F42" s="19"/>
      <c r="G42" s="19"/>
      <c r="H42" s="19"/>
      <c r="I42" s="10"/>
      <c r="J42" s="10"/>
      <c r="K42" s="10"/>
      <c r="L42" s="10"/>
      <c r="M42" s="7"/>
      <c r="N42" s="12"/>
      <c r="O42" s="12"/>
      <c r="P42" s="12"/>
      <c r="Q42" s="12"/>
      <c r="R42" s="12"/>
      <c r="S42" s="12"/>
      <c r="T42" s="12"/>
      <c r="U42" s="12"/>
      <c r="V42" s="12"/>
      <c r="W42" s="13"/>
    </row>
    <row r="43" spans="1:25">
      <c r="C43" s="21" t="s">
        <v>32</v>
      </c>
      <c r="D43" s="23" t="s">
        <v>193</v>
      </c>
      <c r="E43" s="19"/>
      <c r="F43" s="19"/>
      <c r="G43" s="19"/>
      <c r="H43" s="19"/>
      <c r="I43" s="10"/>
      <c r="J43" s="10"/>
      <c r="K43" s="10"/>
      <c r="L43" s="10"/>
      <c r="M43" s="7"/>
      <c r="N43" s="12"/>
      <c r="O43" s="12"/>
      <c r="P43" s="12"/>
      <c r="Q43" s="12"/>
      <c r="R43" s="12"/>
      <c r="S43" s="12"/>
      <c r="T43" s="12"/>
      <c r="U43" s="12"/>
      <c r="V43" s="12"/>
      <c r="W43" s="13"/>
    </row>
    <row r="44" spans="1:25">
      <c r="C44" s="21" t="s">
        <v>34</v>
      </c>
      <c r="D44" s="23" t="s">
        <v>194</v>
      </c>
      <c r="E44" s="19"/>
      <c r="F44" s="22"/>
      <c r="G44" s="22"/>
      <c r="H44" s="22"/>
      <c r="I44" s="10"/>
      <c r="J44" s="10"/>
      <c r="K44" s="10"/>
      <c r="L44" s="10"/>
      <c r="M44" s="7"/>
      <c r="N44" s="12"/>
      <c r="O44" s="12"/>
      <c r="P44" s="12"/>
      <c r="Q44" s="12"/>
      <c r="R44" s="12"/>
      <c r="S44" s="12"/>
      <c r="T44" s="12"/>
      <c r="U44" s="12"/>
      <c r="V44" s="12"/>
      <c r="W44" s="13"/>
    </row>
    <row r="45" spans="1:25">
      <c r="C45" s="19"/>
      <c r="D45" s="19"/>
      <c r="E45" s="24"/>
      <c r="F45" s="24"/>
      <c r="G45" s="24"/>
      <c r="H45" s="24"/>
      <c r="I45" s="14"/>
      <c r="J45" s="14"/>
      <c r="K45" s="14"/>
      <c r="L45" s="14"/>
      <c r="M45" s="7"/>
      <c r="N45" s="12"/>
      <c r="O45" s="12"/>
      <c r="P45" s="12"/>
      <c r="Q45" s="12"/>
      <c r="R45" s="12"/>
      <c r="S45" s="12"/>
      <c r="T45" s="12"/>
      <c r="U45" s="12"/>
      <c r="V45" s="12"/>
      <c r="W45" s="13"/>
    </row>
    <row r="46" spans="1:25" ht="15" customHeight="1">
      <c r="D46" s="119" t="s">
        <v>196</v>
      </c>
      <c r="E46" s="25"/>
      <c r="F46" s="24"/>
      <c r="G46" s="24"/>
      <c r="H46" s="24"/>
      <c r="I46" s="8"/>
      <c r="J46" s="8"/>
      <c r="K46" s="8"/>
      <c r="L46" s="8"/>
      <c r="M46" s="7"/>
      <c r="N46" s="12"/>
      <c r="O46" s="12"/>
      <c r="P46" s="12"/>
      <c r="Q46" s="12"/>
      <c r="R46" s="12"/>
      <c r="S46" s="12"/>
      <c r="T46" s="12"/>
      <c r="U46" s="12"/>
      <c r="V46" s="12"/>
      <c r="W46" s="13"/>
    </row>
    <row r="47" spans="1:25">
      <c r="C47" s="26" t="s">
        <v>6</v>
      </c>
      <c r="D47" s="27" t="s">
        <v>42</v>
      </c>
      <c r="E47" s="25"/>
      <c r="F47" s="25"/>
      <c r="G47" s="25"/>
      <c r="H47" s="25"/>
      <c r="I47" s="10"/>
      <c r="J47" s="10"/>
      <c r="K47" s="10"/>
      <c r="L47" s="10"/>
      <c r="M47" s="7"/>
      <c r="N47" s="12"/>
      <c r="O47" s="12"/>
      <c r="P47" s="12"/>
      <c r="Q47" s="12"/>
      <c r="R47" s="12"/>
      <c r="S47" s="12"/>
      <c r="T47" s="12"/>
      <c r="U47" s="12"/>
      <c r="V47" s="12"/>
      <c r="W47" s="13"/>
    </row>
    <row r="48" spans="1:25">
      <c r="C48" s="26" t="s">
        <v>13</v>
      </c>
      <c r="D48" s="25" t="s">
        <v>43</v>
      </c>
      <c r="E48" s="22"/>
      <c r="F48" s="22"/>
      <c r="G48" s="22"/>
      <c r="H48" s="22"/>
      <c r="I48" s="10"/>
      <c r="J48" s="10"/>
      <c r="K48" s="10"/>
      <c r="L48" s="10"/>
      <c r="M48" s="7"/>
      <c r="N48" s="12"/>
      <c r="O48" s="12"/>
      <c r="P48" s="12"/>
      <c r="Q48" s="12"/>
      <c r="R48" s="12"/>
      <c r="S48" s="12"/>
      <c r="T48" s="12"/>
      <c r="U48" s="12"/>
      <c r="V48" s="12"/>
      <c r="W48" s="13"/>
    </row>
    <row r="49" spans="3:23">
      <c r="C49" s="26" t="s">
        <v>22</v>
      </c>
      <c r="D49" s="25" t="s">
        <v>44</v>
      </c>
      <c r="E49" s="22"/>
      <c r="F49" s="22"/>
      <c r="G49" s="22"/>
      <c r="H49" s="22"/>
      <c r="I49" s="7"/>
      <c r="J49" s="7"/>
      <c r="K49" s="7"/>
      <c r="L49" s="7"/>
      <c r="M49" s="7"/>
      <c r="N49" s="12"/>
      <c r="O49" s="12"/>
      <c r="P49" s="12"/>
      <c r="Q49" s="12"/>
      <c r="R49" s="12"/>
      <c r="S49" s="12"/>
      <c r="T49" s="12"/>
      <c r="U49" s="12"/>
      <c r="V49" s="12"/>
      <c r="W49" s="13"/>
    </row>
    <row r="50" spans="3:23">
      <c r="C50" s="26" t="s">
        <v>27</v>
      </c>
      <c r="D50" s="25" t="s">
        <v>45</v>
      </c>
      <c r="E50" s="19"/>
      <c r="F50" s="19"/>
      <c r="G50" s="19"/>
      <c r="H50" s="19"/>
      <c r="I50" s="2"/>
      <c r="J50" s="2"/>
      <c r="K50" s="2"/>
      <c r="L50" s="2"/>
    </row>
    <row r="51" spans="3:23">
      <c r="C51" s="26" t="s">
        <v>46</v>
      </c>
      <c r="D51" s="19" t="s">
        <v>100</v>
      </c>
      <c r="E51" s="19"/>
      <c r="F51" s="19"/>
      <c r="G51" s="19"/>
      <c r="H51" s="19"/>
      <c r="I51" s="2"/>
      <c r="J51" s="2"/>
      <c r="K51" s="2"/>
      <c r="L51" s="2"/>
    </row>
    <row r="52" spans="3:23">
      <c r="C52" s="26" t="s">
        <v>15</v>
      </c>
      <c r="D52" s="18" t="s">
        <v>47</v>
      </c>
      <c r="E52" s="19"/>
      <c r="F52" s="19"/>
      <c r="G52" s="19"/>
      <c r="H52" s="19"/>
    </row>
    <row r="53" spans="3:23">
      <c r="C53" s="26" t="s">
        <v>39</v>
      </c>
      <c r="D53" s="19" t="s">
        <v>49</v>
      </c>
      <c r="E53" s="19"/>
      <c r="F53" s="19"/>
      <c r="G53" s="19"/>
      <c r="H53" s="19"/>
    </row>
    <row r="54" spans="3:23">
      <c r="C54" s="26" t="s">
        <v>48</v>
      </c>
      <c r="D54" s="18" t="s">
        <v>61</v>
      </c>
      <c r="E54" s="19"/>
      <c r="F54" s="19"/>
      <c r="G54" s="19"/>
      <c r="H54" s="19"/>
    </row>
    <row r="55" spans="3:23">
      <c r="C55" s="36" t="s">
        <v>95</v>
      </c>
      <c r="D55" s="1" t="s">
        <v>143</v>
      </c>
    </row>
    <row r="56" spans="3:23">
      <c r="C56" s="15"/>
    </row>
    <row r="57" spans="3:23">
      <c r="C57" s="15"/>
    </row>
    <row r="58" spans="3:23">
      <c r="C58" s="15"/>
    </row>
    <row r="59" spans="3:23">
      <c r="C59" s="15"/>
    </row>
    <row r="60" spans="3:23">
      <c r="C60" s="15"/>
    </row>
    <row r="61" spans="3:23">
      <c r="C61" s="15"/>
    </row>
    <row r="62" spans="3:23">
      <c r="C62" s="15"/>
    </row>
    <row r="63" spans="3:23">
      <c r="C63" s="15"/>
    </row>
    <row r="64" spans="3:23">
      <c r="C64" s="15"/>
    </row>
    <row r="65" spans="3:3">
      <c r="C65" s="15"/>
    </row>
    <row r="66" spans="3:3">
      <c r="C66" s="15"/>
    </row>
    <row r="67" spans="3:3">
      <c r="C67" s="15"/>
    </row>
    <row r="68" spans="3:3">
      <c r="C68" s="15"/>
    </row>
    <row r="69" spans="3:3">
      <c r="C69" s="15"/>
    </row>
    <row r="70" spans="3:3">
      <c r="C70" s="15"/>
    </row>
    <row r="71" spans="3:3">
      <c r="C71" s="15"/>
    </row>
    <row r="72" spans="3:3">
      <c r="C72" s="15"/>
    </row>
    <row r="73" spans="3:3">
      <c r="C73" s="15"/>
    </row>
    <row r="74" spans="3:3">
      <c r="C74" s="15"/>
    </row>
    <row r="75" spans="3:3">
      <c r="C75" s="15"/>
    </row>
    <row r="76" spans="3:3">
      <c r="C76" s="15"/>
    </row>
    <row r="77" spans="3:3">
      <c r="C77" s="15"/>
    </row>
    <row r="78" spans="3:3">
      <c r="C78" s="15"/>
    </row>
    <row r="79" spans="3:3">
      <c r="C79" s="15"/>
    </row>
    <row r="80" spans="3:3">
      <c r="C80" s="16"/>
    </row>
    <row r="82" spans="3:3" ht="21.75">
      <c r="C82" s="17"/>
    </row>
  </sheetData>
  <mergeCells count="7">
    <mergeCell ref="D5:F5"/>
    <mergeCell ref="D6:F6"/>
    <mergeCell ref="D2:L2"/>
    <mergeCell ref="M2:N2"/>
    <mergeCell ref="O2:Y2"/>
    <mergeCell ref="G3:H3"/>
    <mergeCell ref="I3:J3"/>
  </mergeCells>
  <hyperlinks>
    <hyperlink ref="D52" r:id="rId1" xr:uid="{00000000-0004-0000-0000-000000000000}"/>
    <hyperlink ref="D54" r:id="rId2" display="https://www.wholesalesolar.com/cms/fullriver-dc400-6-agm-battery-specs-4017212128.pdf" xr:uid="{00000000-0004-0000-0000-000001000000}"/>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T48"/>
  <sheetViews>
    <sheetView zoomScale="80" zoomScaleNormal="80" workbookViewId="0">
      <pane xSplit="3" ySplit="2" topLeftCell="D27" activePane="bottomRight" state="frozen"/>
      <selection pane="topRight" activeCell="B1" sqref="B1"/>
      <selection pane="bottomLeft" activeCell="A3" sqref="A3"/>
      <selection pane="bottomRight" activeCell="H52" sqref="H52"/>
    </sheetView>
  </sheetViews>
  <sheetFormatPr baseColWidth="10" defaultColWidth="11.42578125" defaultRowHeight="18"/>
  <cols>
    <col min="1" max="1" width="95.85546875" style="99" customWidth="1"/>
    <col min="2" max="2" width="64" style="99" hidden="1" customWidth="1"/>
    <col min="3" max="3" width="4" style="37" customWidth="1"/>
    <col min="4" max="4" width="9.140625" style="38" customWidth="1"/>
    <col min="5" max="10" width="10.140625" style="38" customWidth="1"/>
    <col min="11" max="11" width="14.85546875" style="38" customWidth="1"/>
    <col min="12" max="12" width="10.140625" style="38" customWidth="1"/>
    <col min="13" max="13" width="13.5703125" style="38" customWidth="1"/>
    <col min="14" max="14" width="16.28515625" style="38" customWidth="1"/>
    <col min="15" max="15" width="61.42578125" style="64" customWidth="1"/>
    <col min="16" max="18" width="11" style="38" customWidth="1"/>
    <col min="19" max="16384" width="11.42578125" style="38"/>
  </cols>
  <sheetData>
    <row r="1" spans="1:19" ht="75">
      <c r="K1" s="126" t="s">
        <v>213</v>
      </c>
      <c r="L1" s="34"/>
      <c r="M1" s="126" t="s">
        <v>214</v>
      </c>
      <c r="N1" s="116" t="s">
        <v>196</v>
      </c>
      <c r="O1" s="116" t="s">
        <v>215</v>
      </c>
      <c r="P1" s="116" t="s">
        <v>216</v>
      </c>
      <c r="Q1" s="116"/>
      <c r="R1" s="116"/>
      <c r="S1" s="40"/>
    </row>
    <row r="2" spans="1:19" ht="30" customHeight="1">
      <c r="A2" s="125" t="s">
        <v>197</v>
      </c>
      <c r="B2" s="41" t="s">
        <v>50</v>
      </c>
      <c r="D2" s="39" t="s">
        <v>67</v>
      </c>
      <c r="E2" s="39">
        <v>2015</v>
      </c>
      <c r="F2" s="42">
        <v>2016</v>
      </c>
      <c r="G2" s="42">
        <v>2017</v>
      </c>
      <c r="H2" s="42">
        <v>2020</v>
      </c>
      <c r="I2" s="39">
        <v>2025</v>
      </c>
      <c r="J2" s="39">
        <v>2030</v>
      </c>
      <c r="K2" s="42" t="s">
        <v>98</v>
      </c>
      <c r="L2" s="39">
        <v>2050</v>
      </c>
      <c r="M2" s="42" t="s">
        <v>99</v>
      </c>
      <c r="N2" s="116"/>
      <c r="O2" s="116"/>
      <c r="P2" s="39">
        <v>2020</v>
      </c>
      <c r="Q2" s="39">
        <v>2030</v>
      </c>
      <c r="R2" s="43">
        <v>2050</v>
      </c>
      <c r="S2" s="43" t="s">
        <v>217</v>
      </c>
    </row>
    <row r="3" spans="1:19" ht="30" customHeight="1">
      <c r="A3" s="105" t="s">
        <v>152</v>
      </c>
      <c r="B3" s="44" t="s">
        <v>121</v>
      </c>
      <c r="D3" s="45" t="s">
        <v>68</v>
      </c>
      <c r="E3" s="45"/>
      <c r="F3" s="42"/>
      <c r="G3" s="42"/>
      <c r="H3" s="42">
        <v>30</v>
      </c>
      <c r="I3" s="42"/>
      <c r="J3" s="42">
        <v>30</v>
      </c>
      <c r="K3" s="42"/>
      <c r="L3" s="42">
        <v>30</v>
      </c>
      <c r="M3" s="42"/>
      <c r="N3" s="117" t="s">
        <v>6</v>
      </c>
      <c r="O3" s="128" t="s">
        <v>252</v>
      </c>
      <c r="P3" s="46"/>
      <c r="Q3" s="47"/>
      <c r="R3" s="47"/>
    </row>
    <row r="4" spans="1:19" ht="30" customHeight="1">
      <c r="A4" s="105" t="s">
        <v>153</v>
      </c>
      <c r="B4" s="44" t="s">
        <v>122</v>
      </c>
      <c r="D4" s="45" t="s">
        <v>69</v>
      </c>
      <c r="E4" s="45"/>
      <c r="F4" s="42"/>
      <c r="G4" s="42"/>
      <c r="H4" s="42">
        <v>15</v>
      </c>
      <c r="I4" s="42"/>
      <c r="J4" s="42">
        <v>15</v>
      </c>
      <c r="K4" s="42"/>
      <c r="L4" s="42">
        <v>15</v>
      </c>
      <c r="M4" s="42"/>
      <c r="N4" s="117"/>
      <c r="O4" s="128"/>
      <c r="P4" s="46"/>
      <c r="Q4" s="47"/>
      <c r="R4" s="47"/>
      <c r="S4" s="48">
        <f>H4/H3</f>
        <v>0.5</v>
      </c>
    </row>
    <row r="5" spans="1:19" ht="30" customHeight="1">
      <c r="A5" s="105" t="s">
        <v>154</v>
      </c>
      <c r="B5" s="44" t="s">
        <v>123</v>
      </c>
      <c r="D5" s="45" t="s">
        <v>70</v>
      </c>
      <c r="E5" s="45"/>
      <c r="F5" s="42"/>
      <c r="G5" s="42"/>
      <c r="H5" s="42">
        <v>15</v>
      </c>
      <c r="I5" s="42"/>
      <c r="J5" s="42">
        <v>15</v>
      </c>
      <c r="K5" s="42"/>
      <c r="L5" s="42">
        <v>15</v>
      </c>
      <c r="M5" s="42"/>
      <c r="N5" s="117"/>
      <c r="O5" s="128"/>
      <c r="P5" s="46"/>
      <c r="Q5" s="47"/>
      <c r="R5" s="47"/>
    </row>
    <row r="6" spans="1:19" ht="30" customHeight="1">
      <c r="A6" s="105" t="s">
        <v>211</v>
      </c>
      <c r="B6" s="44" t="s">
        <v>124</v>
      </c>
      <c r="D6" s="45" t="s">
        <v>71</v>
      </c>
      <c r="E6" s="45"/>
      <c r="F6" s="42"/>
      <c r="G6" s="42"/>
      <c r="H6" s="49">
        <v>82</v>
      </c>
      <c r="I6" s="42"/>
      <c r="J6" s="42">
        <v>85</v>
      </c>
      <c r="K6" s="42"/>
      <c r="L6" s="50">
        <v>85</v>
      </c>
      <c r="M6" s="50"/>
      <c r="N6" s="117"/>
      <c r="O6" s="129" t="s">
        <v>218</v>
      </c>
      <c r="P6" s="46"/>
      <c r="Q6" s="47"/>
      <c r="R6" s="47"/>
    </row>
    <row r="7" spans="1:19" ht="30" customHeight="1">
      <c r="A7" s="105" t="s">
        <v>156</v>
      </c>
      <c r="B7" s="44" t="s">
        <v>125</v>
      </c>
      <c r="D7" s="45" t="s">
        <v>72</v>
      </c>
      <c r="E7" s="45"/>
      <c r="F7" s="42"/>
      <c r="G7" s="42"/>
      <c r="H7" s="5">
        <f>POWER(H6/100,0.5)*100</f>
        <v>90.553851381374159</v>
      </c>
      <c r="I7" s="42"/>
      <c r="J7" s="5">
        <f>POWER(J6/100,0.5)*100</f>
        <v>92.195444572928878</v>
      </c>
      <c r="K7" s="42"/>
      <c r="L7" s="5">
        <f>POWER(L6/100,0.5)*100</f>
        <v>92.195444572928878</v>
      </c>
      <c r="M7" s="42"/>
      <c r="N7" s="115"/>
      <c r="O7" s="128" t="s">
        <v>256</v>
      </c>
      <c r="P7" s="46"/>
      <c r="Q7" s="47"/>
      <c r="R7" s="47"/>
    </row>
    <row r="8" spans="1:19" ht="30" customHeight="1">
      <c r="A8" s="105" t="s">
        <v>157</v>
      </c>
      <c r="B8" s="44" t="s">
        <v>126</v>
      </c>
      <c r="D8" s="45" t="s">
        <v>73</v>
      </c>
      <c r="E8" s="45"/>
      <c r="F8" s="42"/>
      <c r="G8" s="42"/>
      <c r="H8" s="50">
        <f>H7</f>
        <v>90.553851381374159</v>
      </c>
      <c r="I8" s="42"/>
      <c r="J8" s="50">
        <f>J7</f>
        <v>92.195444572928878</v>
      </c>
      <c r="K8" s="42"/>
      <c r="L8" s="50">
        <f>L7</f>
        <v>92.195444572928878</v>
      </c>
      <c r="M8" s="52"/>
      <c r="N8" s="115"/>
      <c r="O8" s="128"/>
      <c r="P8" s="46"/>
      <c r="Q8" s="47"/>
      <c r="R8" s="47"/>
    </row>
    <row r="9" spans="1:19" ht="60.75" customHeight="1">
      <c r="A9" s="105" t="s">
        <v>199</v>
      </c>
      <c r="B9" s="44" t="s">
        <v>127</v>
      </c>
      <c r="D9" s="45" t="s">
        <v>74</v>
      </c>
      <c r="E9" s="45"/>
      <c r="F9" s="42">
        <v>0.3</v>
      </c>
      <c r="G9" s="42"/>
      <c r="H9" s="42">
        <v>0.3</v>
      </c>
      <c r="I9" s="42">
        <v>0.3</v>
      </c>
      <c r="J9" s="42">
        <v>0.3</v>
      </c>
      <c r="K9" s="42"/>
      <c r="L9" s="53">
        <v>0.3</v>
      </c>
      <c r="M9" s="53"/>
      <c r="N9" s="51" t="s">
        <v>15</v>
      </c>
      <c r="O9" s="129" t="s">
        <v>253</v>
      </c>
      <c r="P9" s="46"/>
      <c r="Q9" s="47"/>
      <c r="R9" s="47"/>
    </row>
    <row r="10" spans="1:19" ht="50.1" customHeight="1">
      <c r="A10" s="105" t="s">
        <v>159</v>
      </c>
      <c r="B10" s="44" t="s">
        <v>128</v>
      </c>
      <c r="D10" s="45" t="s">
        <v>75</v>
      </c>
      <c r="E10" s="45"/>
      <c r="F10" s="42"/>
      <c r="G10" s="42"/>
      <c r="H10" s="42">
        <v>0</v>
      </c>
      <c r="I10" s="42"/>
      <c r="J10" s="42">
        <v>0</v>
      </c>
      <c r="K10" s="42"/>
      <c r="L10" s="50">
        <v>0</v>
      </c>
      <c r="M10" s="50"/>
      <c r="N10" s="47"/>
      <c r="O10" s="129" t="s">
        <v>257</v>
      </c>
      <c r="P10" s="46"/>
      <c r="Q10" s="47"/>
      <c r="R10" s="47"/>
    </row>
    <row r="11" spans="1:19" ht="50.1" customHeight="1">
      <c r="A11" s="105" t="s">
        <v>200</v>
      </c>
      <c r="B11" s="44" t="s">
        <v>129</v>
      </c>
      <c r="D11" s="45" t="s">
        <v>76</v>
      </c>
      <c r="E11" s="45"/>
      <c r="F11" s="42"/>
      <c r="G11" s="42"/>
      <c r="H11" s="42">
        <v>0.2</v>
      </c>
      <c r="I11" s="42"/>
      <c r="J11" s="42">
        <v>0.1</v>
      </c>
      <c r="K11" s="42"/>
      <c r="L11" s="52">
        <v>0.1</v>
      </c>
      <c r="M11" s="52"/>
      <c r="N11" s="47"/>
      <c r="O11" s="129" t="s">
        <v>257</v>
      </c>
      <c r="P11" s="46"/>
      <c r="Q11" s="47"/>
      <c r="R11" s="47"/>
    </row>
    <row r="12" spans="1:19" ht="60" customHeight="1">
      <c r="A12" s="105" t="s">
        <v>161</v>
      </c>
      <c r="B12" s="44" t="s">
        <v>130</v>
      </c>
      <c r="D12" s="45" t="s">
        <v>77</v>
      </c>
      <c r="E12" s="42">
        <v>10</v>
      </c>
      <c r="F12" s="42">
        <v>14.5</v>
      </c>
      <c r="G12" s="42">
        <v>15</v>
      </c>
      <c r="H12" s="42">
        <v>13</v>
      </c>
      <c r="I12" s="42"/>
      <c r="J12" s="50">
        <f>(0.321429*J2)-635.196429</f>
        <v>17.304441000000111</v>
      </c>
      <c r="K12" s="50"/>
      <c r="L12" s="50">
        <f>(0.321429*L2)-635.196429</f>
        <v>23.733021000000122</v>
      </c>
      <c r="M12" s="50"/>
      <c r="N12" s="51" t="s">
        <v>96</v>
      </c>
      <c r="O12" s="129" t="s">
        <v>222</v>
      </c>
      <c r="P12" s="46"/>
      <c r="Q12" s="47"/>
      <c r="R12" s="47"/>
    </row>
    <row r="13" spans="1:19" ht="30" customHeight="1">
      <c r="A13" s="105" t="s">
        <v>162</v>
      </c>
      <c r="B13" s="44" t="s">
        <v>131</v>
      </c>
      <c r="D13" s="45" t="s">
        <v>78</v>
      </c>
      <c r="E13" s="42">
        <v>1</v>
      </c>
      <c r="F13" s="42"/>
      <c r="G13" s="42"/>
      <c r="H13" s="42">
        <v>1</v>
      </c>
      <c r="I13" s="42"/>
      <c r="J13" s="42">
        <v>1</v>
      </c>
      <c r="K13" s="42"/>
      <c r="L13" s="50">
        <v>1</v>
      </c>
      <c r="M13" s="50"/>
      <c r="N13" s="117" t="s">
        <v>22</v>
      </c>
      <c r="O13" s="128" t="s">
        <v>220</v>
      </c>
      <c r="P13" s="51"/>
      <c r="Q13" s="51"/>
    </row>
    <row r="14" spans="1:19" ht="30" customHeight="1">
      <c r="A14" s="105" t="s">
        <v>201</v>
      </c>
      <c r="B14" s="44" t="s">
        <v>132</v>
      </c>
      <c r="D14" s="45" t="s">
        <v>79</v>
      </c>
      <c r="E14" s="42"/>
      <c r="F14" s="42"/>
      <c r="G14" s="42"/>
      <c r="H14" s="42">
        <v>1E-3</v>
      </c>
      <c r="I14" s="42"/>
      <c r="J14" s="42">
        <v>1E-3</v>
      </c>
      <c r="K14" s="42"/>
      <c r="L14" s="55">
        <v>1E-3</v>
      </c>
      <c r="M14" s="55"/>
      <c r="N14" s="117"/>
      <c r="O14" s="128"/>
      <c r="P14" s="51"/>
      <c r="Q14" s="51"/>
    </row>
    <row r="15" spans="1:19" ht="30" customHeight="1">
      <c r="A15" s="105" t="s">
        <v>166</v>
      </c>
      <c r="B15" s="44" t="s">
        <v>133</v>
      </c>
      <c r="D15" s="45" t="s">
        <v>80</v>
      </c>
      <c r="E15" s="42"/>
      <c r="F15" s="42"/>
      <c r="G15" s="42"/>
      <c r="H15" s="42">
        <v>1E-3</v>
      </c>
      <c r="I15" s="42"/>
      <c r="J15" s="42">
        <v>1E-3</v>
      </c>
      <c r="K15" s="42"/>
      <c r="L15" s="55">
        <v>1E-3</v>
      </c>
      <c r="M15" s="55"/>
      <c r="N15" s="117"/>
      <c r="O15" s="128"/>
      <c r="P15" s="51"/>
      <c r="Q15" s="51"/>
    </row>
    <row r="16" spans="1:19" ht="60.75" customHeight="1">
      <c r="A16" s="105" t="s">
        <v>202</v>
      </c>
      <c r="B16" s="44" t="s">
        <v>134</v>
      </c>
      <c r="D16" s="45" t="s">
        <v>81</v>
      </c>
      <c r="E16" s="42"/>
      <c r="F16" s="52">
        <v>0.57750000000000001</v>
      </c>
      <c r="G16" s="52"/>
      <c r="H16" s="52">
        <v>0.4738</v>
      </c>
      <c r="I16" s="52">
        <v>0.36899999999999999</v>
      </c>
      <c r="J16" s="52">
        <v>0.2888</v>
      </c>
      <c r="K16" s="52"/>
      <c r="L16" s="52">
        <f>1.39201133594603E+43*EXP(-0.049549*L2)</f>
        <v>0.10714831361424129</v>
      </c>
      <c r="M16" s="55"/>
      <c r="O16" s="129" t="s">
        <v>258</v>
      </c>
      <c r="P16" s="46"/>
      <c r="Q16" s="47"/>
      <c r="R16" s="47"/>
    </row>
    <row r="17" spans="1:20" ht="80.099999999999994" customHeight="1">
      <c r="A17" s="105" t="s">
        <v>203</v>
      </c>
      <c r="B17" s="44" t="s">
        <v>135</v>
      </c>
      <c r="D17" s="45" t="s">
        <v>82</v>
      </c>
      <c r="E17" s="42"/>
      <c r="F17" s="55">
        <v>0.26250000000000001</v>
      </c>
      <c r="G17" s="55"/>
      <c r="H17" s="55">
        <v>0.21560000000000001</v>
      </c>
      <c r="I17" s="55">
        <v>0.1686</v>
      </c>
      <c r="J17" s="55">
        <v>0.1318</v>
      </c>
      <c r="K17" s="55"/>
      <c r="L17" s="55">
        <f>3.18509102167314E+42*EXP(-0.049209*L2)</f>
        <v>4.9222953614367432E-2</v>
      </c>
      <c r="M17" s="55"/>
      <c r="N17" s="117" t="s">
        <v>6</v>
      </c>
      <c r="O17" s="129" t="s">
        <v>254</v>
      </c>
      <c r="P17" s="46"/>
      <c r="Q17" s="47"/>
      <c r="R17" s="47"/>
    </row>
    <row r="18" spans="1:20" ht="56.25" customHeight="1">
      <c r="A18" s="105" t="s">
        <v>204</v>
      </c>
      <c r="B18" s="44" t="s">
        <v>136</v>
      </c>
      <c r="D18" s="45" t="s">
        <v>83</v>
      </c>
      <c r="E18" s="42"/>
      <c r="F18" s="55">
        <v>0.105</v>
      </c>
      <c r="G18" s="55"/>
      <c r="H18" s="55">
        <v>8.5199999999999998E-2</v>
      </c>
      <c r="I18" s="55">
        <v>6.5600000000000006E-2</v>
      </c>
      <c r="J18" s="55">
        <v>5.0599999999999999E-2</v>
      </c>
      <c r="K18" s="56">
        <f>(J18-H18)/H18</f>
        <v>-0.4061032863849765</v>
      </c>
      <c r="L18" s="55">
        <f>4.84984622498763E+44*EXP(-0.052156*L2)</f>
        <v>1.7825791495314873E-2</v>
      </c>
      <c r="M18" s="56">
        <f>(L18-J18)/J18</f>
        <v>-0.64771163052737402</v>
      </c>
      <c r="N18" s="117"/>
      <c r="O18" s="129" t="s">
        <v>259</v>
      </c>
      <c r="P18" s="55">
        <f>LA!D25</f>
        <v>0.67500000000000004</v>
      </c>
      <c r="Q18" s="57">
        <f>P18*(1+K18)</f>
        <v>0.40088028169014089</v>
      </c>
      <c r="R18" s="57">
        <f>Q18*(1+M18)</f>
        <v>0.14122546079034673</v>
      </c>
    </row>
    <row r="19" spans="1:20" ht="39.950000000000003" customHeight="1">
      <c r="A19" s="105" t="s">
        <v>205</v>
      </c>
      <c r="B19" s="44" t="s">
        <v>137</v>
      </c>
      <c r="D19" s="45" t="s">
        <v>84</v>
      </c>
      <c r="E19" s="42"/>
      <c r="F19" s="42"/>
      <c r="G19" s="42"/>
      <c r="H19" s="52">
        <f>3.4*1.11</f>
        <v>3.774</v>
      </c>
      <c r="I19" s="42"/>
      <c r="J19" s="52">
        <f>H19</f>
        <v>3.774</v>
      </c>
      <c r="K19" s="58"/>
      <c r="L19" s="52">
        <f>J19</f>
        <v>3.774</v>
      </c>
      <c r="M19" s="58"/>
      <c r="N19" s="117" t="s">
        <v>46</v>
      </c>
      <c r="O19" s="127" t="s">
        <v>221</v>
      </c>
      <c r="P19" s="66"/>
      <c r="Q19" s="67"/>
      <c r="R19" s="67"/>
    </row>
    <row r="20" spans="1:20" ht="39.950000000000003" customHeight="1">
      <c r="A20" s="105" t="s">
        <v>206</v>
      </c>
      <c r="B20" s="44" t="s">
        <v>138</v>
      </c>
      <c r="D20" s="45" t="s">
        <v>85</v>
      </c>
      <c r="E20" s="42"/>
      <c r="F20" s="59"/>
      <c r="G20" s="59"/>
      <c r="H20" s="52">
        <f>0.37*1.11</f>
        <v>0.41070000000000001</v>
      </c>
      <c r="I20" s="59"/>
      <c r="J20" s="52">
        <f>H20</f>
        <v>0.41070000000000001</v>
      </c>
      <c r="K20" s="58"/>
      <c r="L20" s="52">
        <f>J20</f>
        <v>0.41070000000000001</v>
      </c>
      <c r="M20" s="58"/>
      <c r="N20" s="117"/>
      <c r="O20" s="127"/>
      <c r="P20" s="66"/>
      <c r="Q20" s="67"/>
      <c r="R20" s="67"/>
    </row>
    <row r="21" spans="1:20" ht="60" customHeight="1">
      <c r="A21" s="105" t="s">
        <v>212</v>
      </c>
      <c r="B21" s="44" t="s">
        <v>139</v>
      </c>
      <c r="D21" s="45" t="s">
        <v>86</v>
      </c>
      <c r="E21" s="42"/>
      <c r="F21" s="42"/>
      <c r="G21" s="42"/>
      <c r="H21" s="42">
        <f>LA!D30</f>
        <v>1.107</v>
      </c>
      <c r="I21" s="42"/>
      <c r="J21" s="55">
        <f>LA!E30</f>
        <v>0.66448028169014095</v>
      </c>
      <c r="K21" s="42"/>
      <c r="L21" s="52">
        <f>LA!F30</f>
        <v>0.23967136801908157</v>
      </c>
      <c r="M21" s="52"/>
      <c r="O21" s="129" t="s">
        <v>260</v>
      </c>
      <c r="P21" s="68"/>
      <c r="Q21" s="69"/>
      <c r="R21" s="69"/>
    </row>
    <row r="22" spans="1:20" ht="80.099999999999994" customHeight="1">
      <c r="A22" s="105" t="s">
        <v>207</v>
      </c>
      <c r="B22" s="44" t="s">
        <v>51</v>
      </c>
      <c r="D22" s="45" t="s">
        <v>87</v>
      </c>
      <c r="E22" s="42"/>
      <c r="F22" s="42">
        <v>1500</v>
      </c>
      <c r="G22" s="42"/>
      <c r="H22" s="42">
        <v>1866</v>
      </c>
      <c r="I22" s="42">
        <v>2453</v>
      </c>
      <c r="J22" s="42">
        <v>3225</v>
      </c>
      <c r="K22" s="58"/>
      <c r="L22" s="60">
        <f xml:space="preserve"> 2E-45*EXP(0.0546806668149887*L2)</f>
        <v>9625.633417054345</v>
      </c>
      <c r="M22" s="58"/>
      <c r="N22" s="51" t="s">
        <v>6</v>
      </c>
      <c r="O22" s="129" t="s">
        <v>255</v>
      </c>
      <c r="P22" s="70"/>
      <c r="Q22" s="71"/>
      <c r="R22" s="71"/>
    </row>
    <row r="23" spans="1:20" ht="60" customHeight="1">
      <c r="A23" s="106" t="s">
        <v>208</v>
      </c>
      <c r="B23" s="44" t="s">
        <v>140</v>
      </c>
      <c r="D23" s="45" t="s">
        <v>88</v>
      </c>
      <c r="E23" s="42"/>
      <c r="F23" s="42"/>
      <c r="G23" s="42"/>
      <c r="H23" s="42">
        <f>H25/($H$3/$H$4)</f>
        <v>18.75</v>
      </c>
      <c r="I23" s="42"/>
      <c r="J23" s="42">
        <f>J25/(J3/J4)</f>
        <v>25</v>
      </c>
      <c r="K23" s="61"/>
      <c r="L23" s="52">
        <f>L25/(L3/L4)</f>
        <v>44.449895353598158</v>
      </c>
      <c r="M23" s="61"/>
      <c r="N23" s="117" t="s">
        <v>142</v>
      </c>
      <c r="O23" s="129" t="s">
        <v>261</v>
      </c>
      <c r="P23" s="50">
        <f>P25/($H$3/$H$4)</f>
        <v>22.232142857142858</v>
      </c>
      <c r="Q23" s="50">
        <f t="shared" ref="Q23:R23" si="0">Q25/($H$3/$H$4)</f>
        <v>29.642857142857142</v>
      </c>
      <c r="R23" s="50">
        <f t="shared" si="0"/>
        <v>52.704875919266385</v>
      </c>
    </row>
    <row r="24" spans="1:20" ht="60" customHeight="1">
      <c r="A24" s="105" t="s">
        <v>178</v>
      </c>
      <c r="B24" s="44" t="s">
        <v>141</v>
      </c>
      <c r="D24" s="45" t="s">
        <v>89</v>
      </c>
      <c r="E24" s="42"/>
      <c r="F24" s="42"/>
      <c r="G24" s="42"/>
      <c r="H24" s="42">
        <f>H26/($H$3/$H$4)</f>
        <v>50</v>
      </c>
      <c r="I24" s="42"/>
      <c r="J24" s="42">
        <f>J26/($H$3/$H$4)</f>
        <v>97.5</v>
      </c>
      <c r="K24" s="61"/>
      <c r="L24" s="42">
        <f>L26/($H$3/$H$4)</f>
        <v>192.5</v>
      </c>
      <c r="M24" s="61"/>
      <c r="N24" s="117"/>
      <c r="O24" s="129" t="s">
        <v>262</v>
      </c>
      <c r="P24" s="50">
        <f>P26/($H$3/$H$4)</f>
        <v>55.606869703948142</v>
      </c>
      <c r="Q24" s="50">
        <f t="shared" ref="Q24:R24" si="1">Q26/($H$3/$H$4)</f>
        <v>108.43339592269888</v>
      </c>
      <c r="R24" s="50">
        <f t="shared" si="1"/>
        <v>214.08644836020036</v>
      </c>
    </row>
    <row r="25" spans="1:20" ht="90" customHeight="1">
      <c r="A25" s="105" t="s">
        <v>209</v>
      </c>
      <c r="B25" s="44" t="s">
        <v>144</v>
      </c>
      <c r="D25" s="45" t="s">
        <v>90</v>
      </c>
      <c r="E25" s="42"/>
      <c r="F25" s="42"/>
      <c r="G25" s="42"/>
      <c r="H25" s="42">
        <v>37.5</v>
      </c>
      <c r="I25" s="42"/>
      <c r="J25" s="42">
        <v>50</v>
      </c>
      <c r="K25" s="61">
        <f t="shared" ref="K25:K26" si="2">(J25-H25)/H25</f>
        <v>0.33333333333333331</v>
      </c>
      <c r="L25" s="50">
        <f>2.17E-24*EXP(0.0287682072451571*L2)</f>
        <v>88.899790707196317</v>
      </c>
      <c r="M25" s="61">
        <f t="shared" ref="M25:M26" si="3">(L25-J25)/J25</f>
        <v>0.77799581414392638</v>
      </c>
      <c r="N25" s="117"/>
      <c r="O25" s="129" t="s">
        <v>263</v>
      </c>
      <c r="P25" s="62">
        <f>(F36*1000)/F34</f>
        <v>44.464285714285715</v>
      </c>
      <c r="Q25" s="63">
        <f>P25*(1+K25)</f>
        <v>59.285714285714285</v>
      </c>
      <c r="R25" s="63">
        <f>Q25*(1+M25)</f>
        <v>105.40975183853277</v>
      </c>
    </row>
    <row r="26" spans="1:20" ht="90" customHeight="1">
      <c r="A26" s="105" t="s">
        <v>210</v>
      </c>
      <c r="B26" s="44" t="s">
        <v>145</v>
      </c>
      <c r="D26" s="45" t="s">
        <v>91</v>
      </c>
      <c r="H26" s="42">
        <v>100</v>
      </c>
      <c r="J26" s="42">
        <v>195</v>
      </c>
      <c r="K26" s="61">
        <f t="shared" si="2"/>
        <v>0.95</v>
      </c>
      <c r="L26" s="50">
        <f>(9.5*L2)-19090</f>
        <v>385</v>
      </c>
      <c r="M26" s="61">
        <f t="shared" si="3"/>
        <v>0.97435897435897434</v>
      </c>
      <c r="N26" s="117"/>
      <c r="O26" s="129" t="s">
        <v>264</v>
      </c>
      <c r="P26" s="62">
        <f>F36/F35</f>
        <v>111.21373940789628</v>
      </c>
      <c r="Q26" s="63">
        <f>P26*(1+K26)</f>
        <v>216.86679184539776</v>
      </c>
      <c r="R26" s="63">
        <f>Q26*(1+M26)</f>
        <v>428.17289672040073</v>
      </c>
    </row>
    <row r="27" spans="1:20">
      <c r="C27" s="44"/>
      <c r="D27" s="45"/>
      <c r="H27" s="42"/>
      <c r="J27" s="42"/>
      <c r="K27" s="58"/>
      <c r="L27" s="52"/>
      <c r="M27" s="58"/>
      <c r="N27" s="51"/>
      <c r="O27" s="54"/>
      <c r="P27" s="50"/>
      <c r="Q27" s="57"/>
      <c r="R27" s="57"/>
    </row>
    <row r="28" spans="1:20" ht="57.75" customHeight="1">
      <c r="C28" s="44"/>
      <c r="D28" s="45"/>
      <c r="H28" s="42"/>
      <c r="J28" s="72"/>
      <c r="K28" s="72"/>
      <c r="L28" s="74"/>
      <c r="M28" s="74"/>
      <c r="N28" s="74"/>
      <c r="O28" s="74"/>
      <c r="P28" s="50"/>
      <c r="Q28" s="73"/>
      <c r="R28" s="73"/>
      <c r="S28" s="72"/>
      <c r="T28" s="72"/>
    </row>
    <row r="29" spans="1:20">
      <c r="C29" s="44"/>
      <c r="D29" s="45"/>
      <c r="H29" s="42"/>
      <c r="J29" s="42"/>
      <c r="K29" s="58"/>
      <c r="L29" s="52"/>
      <c r="M29" s="58"/>
      <c r="N29" s="51"/>
      <c r="O29" s="54"/>
      <c r="P29" s="50"/>
      <c r="Q29" s="57"/>
      <c r="R29" s="57"/>
    </row>
    <row r="30" spans="1:20">
      <c r="C30" s="44"/>
      <c r="D30" s="45"/>
      <c r="H30" s="42"/>
      <c r="J30" s="42"/>
      <c r="K30" s="58"/>
      <c r="L30" s="52"/>
      <c r="M30" s="58"/>
      <c r="N30" s="51"/>
      <c r="O30" s="54"/>
      <c r="P30" s="50"/>
      <c r="Q30" s="57"/>
      <c r="R30" s="57"/>
    </row>
    <row r="31" spans="1:20">
      <c r="C31" s="44"/>
      <c r="D31" s="45"/>
      <c r="E31" s="115"/>
      <c r="F31" s="115"/>
      <c r="G31" s="115"/>
      <c r="H31" s="115"/>
      <c r="I31" s="115"/>
      <c r="J31" s="115"/>
      <c r="K31" s="115"/>
      <c r="L31" s="75"/>
      <c r="M31" s="75"/>
      <c r="N31" s="51"/>
      <c r="O31" s="54"/>
      <c r="P31" s="50"/>
      <c r="Q31" s="57"/>
      <c r="R31" s="57"/>
    </row>
    <row r="32" spans="1:20">
      <c r="C32" s="130"/>
      <c r="D32" s="131"/>
      <c r="E32" s="132" t="s">
        <v>146</v>
      </c>
      <c r="F32" s="132"/>
      <c r="G32" s="132"/>
      <c r="H32" s="132"/>
      <c r="I32" s="132"/>
      <c r="J32" s="132"/>
      <c r="K32" s="132"/>
      <c r="L32" s="75"/>
      <c r="M32" s="75"/>
      <c r="N32" s="51"/>
      <c r="O32" s="54"/>
      <c r="P32" s="50"/>
      <c r="Q32" s="57"/>
      <c r="R32" s="57"/>
    </row>
    <row r="33" spans="1:15">
      <c r="C33" s="133"/>
      <c r="D33" s="134"/>
      <c r="E33" s="135" t="s">
        <v>97</v>
      </c>
      <c r="F33" s="134"/>
      <c r="G33" s="134"/>
      <c r="H33" s="134"/>
      <c r="I33" s="134"/>
      <c r="J33" s="134"/>
      <c r="K33" s="134"/>
    </row>
    <row r="34" spans="1:15">
      <c r="A34" s="34"/>
      <c r="C34" s="133"/>
      <c r="D34" s="134"/>
      <c r="E34" s="136" t="s">
        <v>53</v>
      </c>
      <c r="F34" s="136">
        <f>8*4*56</f>
        <v>1792</v>
      </c>
      <c r="G34" s="136" t="s">
        <v>55</v>
      </c>
      <c r="H34" s="136"/>
      <c r="I34" s="136" t="s">
        <v>34</v>
      </c>
      <c r="J34" s="136">
        <v>0.42399999999999999</v>
      </c>
      <c r="K34" s="136" t="s">
        <v>59</v>
      </c>
      <c r="L34" s="48"/>
    </row>
    <row r="35" spans="1:15">
      <c r="A35" s="34"/>
      <c r="C35" s="133"/>
      <c r="D35" s="134"/>
      <c r="E35" s="136" t="s">
        <v>54</v>
      </c>
      <c r="F35" s="137">
        <f>J34*J35*J36</f>
        <v>0.71645823999999991</v>
      </c>
      <c r="G35" s="136" t="s">
        <v>56</v>
      </c>
      <c r="H35" s="136"/>
      <c r="I35" s="136" t="s">
        <v>58</v>
      </c>
      <c r="J35" s="136">
        <v>0.71599999999999997</v>
      </c>
      <c r="K35" s="136" t="s">
        <v>59</v>
      </c>
      <c r="L35" s="48"/>
    </row>
    <row r="36" spans="1:15">
      <c r="A36" s="34"/>
      <c r="C36" s="133"/>
      <c r="D36" s="134"/>
      <c r="E36" s="136" t="s">
        <v>57</v>
      </c>
      <c r="F36" s="138">
        <f>(1660*48)/1000</f>
        <v>79.680000000000007</v>
      </c>
      <c r="G36" s="136" t="s">
        <v>62</v>
      </c>
      <c r="H36" s="136"/>
      <c r="I36" s="136" t="s">
        <v>60</v>
      </c>
      <c r="J36" s="136">
        <v>2.36</v>
      </c>
      <c r="K36" s="136" t="s">
        <v>59</v>
      </c>
      <c r="L36" s="48"/>
    </row>
    <row r="37" spans="1:15">
      <c r="A37" s="34"/>
      <c r="C37" s="133"/>
      <c r="D37" s="134"/>
      <c r="E37" s="136"/>
      <c r="F37" s="136"/>
      <c r="G37" s="136"/>
      <c r="H37" s="136"/>
      <c r="I37" s="134"/>
      <c r="J37" s="134"/>
      <c r="K37" s="134"/>
    </row>
    <row r="38" spans="1:15" s="34" customFormat="1" ht="15">
      <c r="C38" s="134"/>
      <c r="D38" s="139" t="s">
        <v>196</v>
      </c>
      <c r="E38" s="134"/>
      <c r="F38" s="134"/>
      <c r="G38" s="134"/>
      <c r="H38" s="134"/>
      <c r="I38" s="134"/>
      <c r="J38" s="134"/>
      <c r="K38" s="134"/>
      <c r="O38" s="35"/>
    </row>
    <row r="39" spans="1:15" s="34" customFormat="1" ht="15">
      <c r="C39" s="140" t="s">
        <v>6</v>
      </c>
      <c r="D39" s="141" t="s">
        <v>42</v>
      </c>
      <c r="E39" s="134"/>
      <c r="F39" s="134"/>
      <c r="G39" s="134"/>
      <c r="H39" s="134"/>
      <c r="I39" s="134"/>
      <c r="J39" s="134"/>
      <c r="K39" s="134"/>
      <c r="O39" s="35"/>
    </row>
    <row r="40" spans="1:15" s="34" customFormat="1" ht="15">
      <c r="C40" s="140" t="s">
        <v>13</v>
      </c>
      <c r="D40" s="142" t="s">
        <v>43</v>
      </c>
      <c r="E40" s="134"/>
      <c r="F40" s="134"/>
      <c r="G40" s="134"/>
      <c r="H40" s="134"/>
      <c r="I40" s="134"/>
      <c r="J40" s="134"/>
      <c r="K40" s="134"/>
      <c r="O40" s="35"/>
    </row>
    <row r="41" spans="1:15" s="34" customFormat="1" ht="15">
      <c r="C41" s="140" t="s">
        <v>22</v>
      </c>
      <c r="D41" s="142" t="s">
        <v>44</v>
      </c>
      <c r="E41" s="134"/>
      <c r="F41" s="134"/>
      <c r="G41" s="134"/>
      <c r="H41" s="134"/>
      <c r="I41" s="134"/>
      <c r="J41" s="134"/>
      <c r="K41" s="134"/>
      <c r="O41" s="35"/>
    </row>
    <row r="42" spans="1:15" s="34" customFormat="1" ht="15">
      <c r="C42" s="140" t="s">
        <v>27</v>
      </c>
      <c r="D42" s="142" t="s">
        <v>45</v>
      </c>
      <c r="E42" s="134"/>
      <c r="F42" s="134"/>
      <c r="G42" s="134"/>
      <c r="H42" s="134"/>
      <c r="I42" s="134"/>
      <c r="J42" s="134"/>
      <c r="K42" s="134"/>
      <c r="O42" s="35"/>
    </row>
    <row r="43" spans="1:15" s="34" customFormat="1" ht="15">
      <c r="C43" s="140" t="s">
        <v>46</v>
      </c>
      <c r="D43" s="143" t="s">
        <v>265</v>
      </c>
      <c r="E43" s="134"/>
      <c r="F43" s="134"/>
      <c r="G43" s="134"/>
      <c r="H43" s="134"/>
      <c r="I43" s="134"/>
      <c r="J43" s="134"/>
      <c r="K43" s="134"/>
      <c r="O43" s="35"/>
    </row>
    <row r="44" spans="1:15" s="34" customFormat="1">
      <c r="A44" s="99"/>
      <c r="C44" s="140" t="s">
        <v>15</v>
      </c>
      <c r="D44" s="144" t="s">
        <v>47</v>
      </c>
      <c r="E44" s="134"/>
      <c r="F44" s="134"/>
      <c r="G44" s="134"/>
      <c r="H44" s="134"/>
      <c r="I44" s="134"/>
      <c r="J44" s="134"/>
      <c r="K44" s="134"/>
      <c r="O44" s="35"/>
    </row>
    <row r="45" spans="1:15" s="34" customFormat="1">
      <c r="A45" s="99"/>
      <c r="C45" s="140" t="s">
        <v>39</v>
      </c>
      <c r="D45" s="143" t="s">
        <v>49</v>
      </c>
      <c r="E45" s="134"/>
      <c r="F45" s="134"/>
      <c r="G45" s="134"/>
      <c r="H45" s="134"/>
      <c r="I45" s="134"/>
      <c r="J45" s="134"/>
      <c r="K45" s="134"/>
      <c r="O45" s="35"/>
    </row>
    <row r="46" spans="1:15" s="34" customFormat="1">
      <c r="A46" s="99"/>
      <c r="C46" s="140" t="s">
        <v>48</v>
      </c>
      <c r="D46" s="144" t="s">
        <v>61</v>
      </c>
      <c r="E46" s="134"/>
      <c r="F46" s="134"/>
      <c r="G46" s="134"/>
      <c r="H46" s="134"/>
      <c r="I46" s="134"/>
      <c r="J46" s="134"/>
      <c r="K46" s="134"/>
      <c r="O46" s="35"/>
    </row>
    <row r="47" spans="1:15" s="34" customFormat="1">
      <c r="A47" s="99"/>
      <c r="C47" s="140" t="s">
        <v>95</v>
      </c>
      <c r="D47" s="145" t="s">
        <v>143</v>
      </c>
      <c r="E47" s="134"/>
      <c r="F47" s="134"/>
      <c r="G47" s="134"/>
      <c r="H47" s="134"/>
      <c r="I47" s="134"/>
      <c r="J47" s="134"/>
      <c r="K47" s="134"/>
      <c r="O47" s="35"/>
    </row>
    <row r="48" spans="1:15">
      <c r="C48" s="65"/>
    </row>
  </sheetData>
  <mergeCells count="15">
    <mergeCell ref="E32:K32"/>
    <mergeCell ref="E31:K31"/>
    <mergeCell ref="P1:R1"/>
    <mergeCell ref="O3:O5"/>
    <mergeCell ref="O7:O8"/>
    <mergeCell ref="N7:N8"/>
    <mergeCell ref="N23:N26"/>
    <mergeCell ref="O1:O2"/>
    <mergeCell ref="N1:N2"/>
    <mergeCell ref="O13:O15"/>
    <mergeCell ref="N3:N6"/>
    <mergeCell ref="N19:N20"/>
    <mergeCell ref="O19:O20"/>
    <mergeCell ref="N13:N15"/>
    <mergeCell ref="N17:N18"/>
  </mergeCells>
  <hyperlinks>
    <hyperlink ref="D44" r:id="rId1" xr:uid="{00000000-0004-0000-0100-000000000000}"/>
    <hyperlink ref="D46" r:id="rId2" display="https://www.wholesalesolar.com/cms/fullriver-dc400-6-agm-battery-specs-4017212128.pdf" xr:uid="{00000000-0004-0000-0100-000001000000}"/>
  </hyperlinks>
  <pageMargins left="0.7" right="0.7" top="0.75" bottom="0.75" header="0.3" footer="0.3"/>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39"/>
  <sheetViews>
    <sheetView topLeftCell="A31" zoomScale="80" zoomScaleNormal="80" workbookViewId="0">
      <selection activeCell="O10" sqref="O10"/>
    </sheetView>
  </sheetViews>
  <sheetFormatPr baseColWidth="10" defaultColWidth="11.5703125" defaultRowHeight="15"/>
  <cols>
    <col min="1" max="1" width="108.42578125" style="28" customWidth="1"/>
    <col min="2" max="2" width="58.140625" style="28" hidden="1" customWidth="1"/>
    <col min="3" max="3" width="3.140625" style="29" customWidth="1"/>
    <col min="4" max="9" width="10.140625" style="28" customWidth="1"/>
    <col min="10" max="10" width="13.5703125" style="28" customWidth="1"/>
    <col min="11" max="14" width="10.140625" style="28" customWidth="1"/>
    <col min="15" max="15" width="19.28515625" style="28" customWidth="1"/>
    <col min="16" max="16" width="17.85546875" style="28" customWidth="1"/>
    <col min="17" max="17" width="20.5703125" style="28" customWidth="1"/>
    <col min="18" max="16384" width="11.5703125" style="28"/>
  </cols>
  <sheetData>
    <row r="1" spans="1:17" ht="43.5" customHeight="1">
      <c r="B1" s="30"/>
      <c r="D1" s="164"/>
      <c r="E1" s="164"/>
      <c r="F1" s="165" t="s">
        <v>234</v>
      </c>
      <c r="G1" s="166"/>
      <c r="H1" s="165" t="s">
        <v>235</v>
      </c>
      <c r="I1" s="166"/>
      <c r="J1" s="167"/>
      <c r="K1" s="165" t="s">
        <v>236</v>
      </c>
      <c r="L1" s="166"/>
      <c r="M1" s="165" t="s">
        <v>238</v>
      </c>
      <c r="N1" s="166"/>
      <c r="O1" s="168" t="s">
        <v>239</v>
      </c>
      <c r="P1" s="169"/>
      <c r="Q1" s="170"/>
    </row>
    <row r="2" spans="1:17" ht="20.100000000000001" customHeight="1">
      <c r="A2" s="147" t="s">
        <v>197</v>
      </c>
      <c r="B2" s="147" t="s">
        <v>50</v>
      </c>
      <c r="D2" s="148">
        <v>2020</v>
      </c>
      <c r="E2" s="148">
        <v>2030</v>
      </c>
      <c r="F2" s="149" t="s">
        <v>183</v>
      </c>
      <c r="G2" s="150" t="s">
        <v>184</v>
      </c>
      <c r="H2" s="150" t="s">
        <v>183</v>
      </c>
      <c r="I2" s="150" t="s">
        <v>184</v>
      </c>
      <c r="J2" s="149" t="s">
        <v>237</v>
      </c>
      <c r="K2" s="150" t="s">
        <v>183</v>
      </c>
      <c r="L2" s="150" t="s">
        <v>184</v>
      </c>
      <c r="M2" s="150" t="s">
        <v>183</v>
      </c>
      <c r="N2" s="150" t="s">
        <v>184</v>
      </c>
      <c r="O2" s="171" t="s">
        <v>240</v>
      </c>
      <c r="P2" s="171"/>
      <c r="Q2" s="171"/>
    </row>
    <row r="3" spans="1:17" ht="20.100000000000001" customHeight="1">
      <c r="A3" s="155" t="s">
        <v>224</v>
      </c>
      <c r="B3" s="151" t="s">
        <v>267</v>
      </c>
      <c r="D3" s="152">
        <v>9.9</v>
      </c>
      <c r="E3" s="152">
        <v>12.8</v>
      </c>
      <c r="F3" s="152">
        <v>3.3</v>
      </c>
      <c r="G3" s="152">
        <v>16.600000000000001</v>
      </c>
      <c r="H3" s="152">
        <v>4.3</v>
      </c>
      <c r="I3" s="152">
        <v>21.3</v>
      </c>
      <c r="J3" s="150" t="s">
        <v>6</v>
      </c>
      <c r="K3" s="153">
        <f>(F3-$D$3)/$D$3</f>
        <v>-0.66666666666666674</v>
      </c>
      <c r="L3" s="153">
        <f>(G3-$D$3)/$D$3</f>
        <v>0.6767676767676768</v>
      </c>
      <c r="M3" s="153">
        <f>(0.002857*E2)-6.057143</f>
        <v>-0.2574329999999998</v>
      </c>
      <c r="N3" s="153">
        <f>(-0.007619*E2)+15.819048</f>
        <v>0.3524780000000014</v>
      </c>
      <c r="O3" s="171"/>
      <c r="P3" s="171"/>
      <c r="Q3" s="171"/>
    </row>
    <row r="4" spans="1:17" ht="20.100000000000001" customHeight="1">
      <c r="A4" s="155" t="s">
        <v>232</v>
      </c>
      <c r="B4" s="151" t="s">
        <v>144</v>
      </c>
      <c r="D4" s="152">
        <v>38</v>
      </c>
      <c r="E4" s="152">
        <v>50</v>
      </c>
      <c r="F4" s="152">
        <v>25</v>
      </c>
      <c r="G4" s="152">
        <v>50</v>
      </c>
      <c r="H4" s="152">
        <v>40</v>
      </c>
      <c r="I4" s="152">
        <v>60</v>
      </c>
      <c r="J4" s="154" t="s">
        <v>95</v>
      </c>
      <c r="K4" s="153">
        <f>(F4-$D$4)/$D$4</f>
        <v>-0.34210526315789475</v>
      </c>
      <c r="L4" s="153">
        <f>(G4-$D$4)/$D$4</f>
        <v>0.31578947368421051</v>
      </c>
      <c r="M4" s="153">
        <f>(H4-$E$4)/$E$4</f>
        <v>-0.2</v>
      </c>
      <c r="N4" s="153">
        <f>(I4-$E$4)/$E$4</f>
        <v>0.2</v>
      </c>
      <c r="O4" s="171" t="s">
        <v>241</v>
      </c>
      <c r="P4" s="171"/>
      <c r="Q4" s="171"/>
    </row>
    <row r="5" spans="1:17" ht="20.100000000000001" customHeight="1">
      <c r="A5" s="155" t="s">
        <v>233</v>
      </c>
      <c r="B5" s="151" t="s">
        <v>145</v>
      </c>
      <c r="D5" s="152">
        <v>100</v>
      </c>
      <c r="E5" s="152">
        <v>195</v>
      </c>
      <c r="F5" s="152">
        <v>60</v>
      </c>
      <c r="G5" s="152">
        <v>140</v>
      </c>
      <c r="H5" s="152">
        <v>140</v>
      </c>
      <c r="I5" s="152">
        <v>250</v>
      </c>
      <c r="J5" s="154"/>
      <c r="K5" s="153">
        <f>(F5-$D$5)/$D$5</f>
        <v>-0.4</v>
      </c>
      <c r="L5" s="153">
        <f>(G5-$D$5)/$D$5</f>
        <v>0.4</v>
      </c>
      <c r="M5" s="153">
        <f>(H5-$E$5)/$E$5</f>
        <v>-0.28205128205128205</v>
      </c>
      <c r="N5" s="153">
        <f>(I5-$E$5)/$E$5</f>
        <v>0.28205128205128205</v>
      </c>
      <c r="O5" s="171"/>
      <c r="P5" s="171"/>
      <c r="Q5" s="171"/>
    </row>
    <row r="6" spans="1:17">
      <c r="A6" s="155"/>
      <c r="B6" s="32"/>
    </row>
    <row r="7" spans="1:17">
      <c r="A7" s="155"/>
      <c r="B7" s="32"/>
    </row>
    <row r="8" spans="1:17" ht="18">
      <c r="A8" s="155"/>
      <c r="B8" s="32"/>
      <c r="D8" s="161" t="s">
        <v>92</v>
      </c>
      <c r="E8" s="162"/>
      <c r="F8" s="162"/>
      <c r="G8" s="162"/>
      <c r="H8" s="162"/>
      <c r="I8" s="162"/>
      <c r="J8" s="162"/>
      <c r="K8" s="163"/>
      <c r="L8" s="76"/>
      <c r="M8" s="76"/>
      <c r="N8" s="76"/>
      <c r="O8" s="77"/>
      <c r="P8" s="77"/>
      <c r="Q8" s="77"/>
    </row>
    <row r="9" spans="1:17" ht="30" customHeight="1">
      <c r="A9" s="156" t="s">
        <v>152</v>
      </c>
      <c r="B9" s="31" t="s">
        <v>101</v>
      </c>
      <c r="D9" s="146" t="s">
        <v>242</v>
      </c>
      <c r="E9" s="146"/>
      <c r="F9" s="146"/>
      <c r="G9" s="146"/>
      <c r="H9" s="146"/>
      <c r="I9" s="146"/>
      <c r="J9" s="146"/>
      <c r="K9" s="146"/>
      <c r="L9" s="76"/>
      <c r="M9" s="76"/>
      <c r="N9" s="76"/>
      <c r="O9" s="76"/>
      <c r="P9" s="76"/>
      <c r="Q9" s="76"/>
    </row>
    <row r="10" spans="1:17" ht="30" customHeight="1">
      <c r="A10" s="156" t="s">
        <v>153</v>
      </c>
      <c r="B10" s="31" t="s">
        <v>102</v>
      </c>
      <c r="D10" s="146"/>
      <c r="E10" s="146"/>
      <c r="F10" s="146"/>
      <c r="G10" s="146"/>
      <c r="H10" s="146"/>
      <c r="I10" s="146"/>
      <c r="J10" s="146"/>
      <c r="K10" s="146"/>
      <c r="L10" s="76"/>
      <c r="M10" s="76"/>
      <c r="N10" s="76"/>
      <c r="O10" s="76"/>
      <c r="P10" s="76"/>
      <c r="Q10" s="76"/>
    </row>
    <row r="11" spans="1:17" ht="30" customHeight="1">
      <c r="A11" s="156" t="s">
        <v>228</v>
      </c>
      <c r="B11" s="31" t="s">
        <v>103</v>
      </c>
      <c r="D11" s="146"/>
      <c r="E11" s="146"/>
      <c r="F11" s="146"/>
      <c r="G11" s="146"/>
      <c r="H11" s="146"/>
      <c r="I11" s="146"/>
      <c r="J11" s="146"/>
      <c r="K11" s="146"/>
      <c r="L11" s="76"/>
      <c r="M11" s="76"/>
      <c r="N11" s="76"/>
      <c r="O11" s="76"/>
      <c r="P11" s="76"/>
      <c r="Q11" s="76"/>
    </row>
    <row r="12" spans="1:17" ht="50.1" customHeight="1">
      <c r="A12" s="156" t="s">
        <v>198</v>
      </c>
      <c r="B12" s="31" t="s">
        <v>104</v>
      </c>
      <c r="D12" s="146" t="s">
        <v>243</v>
      </c>
      <c r="E12" s="146"/>
      <c r="F12" s="146"/>
      <c r="G12" s="146"/>
      <c r="H12" s="146"/>
      <c r="I12" s="146"/>
      <c r="J12" s="146"/>
      <c r="K12" s="146"/>
      <c r="L12" s="76"/>
      <c r="M12" s="76"/>
      <c r="N12" s="76"/>
      <c r="O12" s="76"/>
      <c r="P12" s="76"/>
      <c r="Q12" s="76"/>
    </row>
    <row r="13" spans="1:17" ht="30" customHeight="1">
      <c r="A13" s="156" t="s">
        <v>156</v>
      </c>
      <c r="B13" s="31" t="s">
        <v>105</v>
      </c>
      <c r="D13" s="146" t="s">
        <v>219</v>
      </c>
      <c r="E13" s="146"/>
      <c r="F13" s="146"/>
      <c r="G13" s="146"/>
      <c r="H13" s="146"/>
      <c r="I13" s="146"/>
      <c r="J13" s="146"/>
      <c r="K13" s="146"/>
      <c r="L13" s="84"/>
      <c r="M13" s="78"/>
      <c r="N13" s="78"/>
      <c r="O13" s="79"/>
      <c r="P13" s="79"/>
      <c r="Q13" s="79"/>
    </row>
    <row r="14" spans="1:17" ht="30" customHeight="1">
      <c r="A14" s="156" t="s">
        <v>157</v>
      </c>
      <c r="B14" s="31" t="s">
        <v>106</v>
      </c>
      <c r="D14" s="146"/>
      <c r="E14" s="146"/>
      <c r="F14" s="146"/>
      <c r="G14" s="146"/>
      <c r="H14" s="146"/>
      <c r="I14" s="146"/>
      <c r="J14" s="146"/>
      <c r="K14" s="146"/>
      <c r="L14" s="84"/>
      <c r="M14" s="78"/>
      <c r="N14" s="78"/>
      <c r="O14" s="79"/>
      <c r="P14" s="79"/>
      <c r="Q14" s="79"/>
    </row>
    <row r="15" spans="1:17" ht="76.5" customHeight="1">
      <c r="A15" s="156" t="s">
        <v>223</v>
      </c>
      <c r="B15" s="31" t="s">
        <v>107</v>
      </c>
      <c r="D15" s="146" t="s">
        <v>244</v>
      </c>
      <c r="E15" s="146"/>
      <c r="F15" s="146"/>
      <c r="G15" s="146"/>
      <c r="H15" s="146"/>
      <c r="I15" s="146"/>
      <c r="J15" s="146"/>
      <c r="K15" s="146"/>
      <c r="L15" s="76"/>
      <c r="M15" s="76"/>
      <c r="N15" s="76"/>
      <c r="O15" s="76"/>
      <c r="P15" s="76"/>
      <c r="Q15" s="76"/>
    </row>
    <row r="16" spans="1:17" ht="30" customHeight="1">
      <c r="A16" s="156" t="s">
        <v>159</v>
      </c>
      <c r="B16" s="31" t="s">
        <v>108</v>
      </c>
      <c r="D16" s="146" t="s">
        <v>245</v>
      </c>
      <c r="E16" s="146"/>
      <c r="F16" s="146"/>
      <c r="G16" s="146"/>
      <c r="H16" s="146"/>
      <c r="I16" s="146"/>
      <c r="J16" s="146"/>
      <c r="K16" s="146"/>
      <c r="L16" s="76"/>
      <c r="M16" s="76"/>
      <c r="N16" s="76"/>
      <c r="O16" s="76"/>
      <c r="P16" s="76"/>
      <c r="Q16" s="76"/>
    </row>
    <row r="17" spans="1:17" ht="30" customHeight="1">
      <c r="A17" s="156" t="s">
        <v>200</v>
      </c>
      <c r="B17" s="31" t="s">
        <v>109</v>
      </c>
      <c r="D17" s="146"/>
      <c r="E17" s="146"/>
      <c r="F17" s="146"/>
      <c r="G17" s="146"/>
      <c r="H17" s="146"/>
      <c r="I17" s="146"/>
      <c r="J17" s="146"/>
      <c r="K17" s="146"/>
      <c r="L17" s="76"/>
      <c r="M17" s="76"/>
      <c r="N17" s="76"/>
      <c r="O17" s="76"/>
      <c r="P17" s="76"/>
      <c r="Q17" s="76"/>
    </row>
    <row r="18" spans="1:17" ht="30" customHeight="1">
      <c r="A18" s="156" t="s">
        <v>162</v>
      </c>
      <c r="B18" s="31" t="s">
        <v>110</v>
      </c>
      <c r="D18" s="146" t="s">
        <v>266</v>
      </c>
      <c r="E18" s="146"/>
      <c r="F18" s="146"/>
      <c r="G18" s="146"/>
      <c r="H18" s="146"/>
      <c r="I18" s="146"/>
      <c r="J18" s="146"/>
      <c r="K18" s="146"/>
      <c r="L18" s="83"/>
      <c r="M18" s="83"/>
      <c r="N18" s="83"/>
      <c r="O18" s="81"/>
      <c r="P18" s="80"/>
      <c r="Q18" s="80"/>
    </row>
    <row r="19" spans="1:17" ht="30" customHeight="1">
      <c r="A19" s="156" t="s">
        <v>229</v>
      </c>
      <c r="B19" s="31" t="s">
        <v>111</v>
      </c>
      <c r="D19" s="146" t="s">
        <v>268</v>
      </c>
      <c r="E19" s="146"/>
      <c r="F19" s="146"/>
      <c r="G19" s="146"/>
      <c r="H19" s="146"/>
      <c r="I19" s="146"/>
      <c r="J19" s="146"/>
      <c r="K19" s="146"/>
      <c r="L19" s="84"/>
      <c r="M19" s="84"/>
      <c r="N19" s="84"/>
      <c r="O19" s="81"/>
      <c r="P19" s="80"/>
      <c r="Q19" s="80"/>
    </row>
    <row r="20" spans="1:17" ht="30" customHeight="1">
      <c r="A20" s="156" t="s">
        <v>166</v>
      </c>
      <c r="B20" s="31" t="s">
        <v>112</v>
      </c>
      <c r="D20" s="146"/>
      <c r="E20" s="146"/>
      <c r="F20" s="146"/>
      <c r="G20" s="146"/>
      <c r="H20" s="146"/>
      <c r="I20" s="146"/>
      <c r="J20" s="146"/>
      <c r="K20" s="146"/>
      <c r="L20" s="84"/>
      <c r="M20" s="84"/>
      <c r="N20" s="84"/>
      <c r="O20" s="81"/>
      <c r="P20" s="80"/>
      <c r="Q20" s="80"/>
    </row>
    <row r="21" spans="1:17" ht="59.25" customHeight="1">
      <c r="A21" s="156" t="s">
        <v>230</v>
      </c>
      <c r="B21" s="31" t="s">
        <v>113</v>
      </c>
      <c r="D21" s="146" t="s">
        <v>258</v>
      </c>
      <c r="E21" s="146"/>
      <c r="F21" s="146"/>
      <c r="G21" s="146"/>
      <c r="H21" s="146"/>
      <c r="I21" s="146"/>
      <c r="J21" s="146"/>
      <c r="K21" s="146"/>
      <c r="L21" s="84"/>
      <c r="M21" s="84"/>
      <c r="N21" s="84"/>
      <c r="O21" s="81"/>
      <c r="P21" s="80"/>
      <c r="Q21" s="80"/>
    </row>
    <row r="22" spans="1:17" ht="56.25" customHeight="1">
      <c r="A22" s="156" t="s">
        <v>225</v>
      </c>
      <c r="B22" s="31" t="s">
        <v>114</v>
      </c>
      <c r="D22" s="146" t="s">
        <v>246</v>
      </c>
      <c r="E22" s="146"/>
      <c r="F22" s="146"/>
      <c r="G22" s="146"/>
      <c r="H22" s="146"/>
      <c r="I22" s="146"/>
      <c r="J22" s="146"/>
      <c r="K22" s="146"/>
      <c r="L22" s="85"/>
      <c r="M22" s="85"/>
      <c r="N22" s="85"/>
      <c r="O22" s="76"/>
      <c r="P22" s="76"/>
      <c r="Q22" s="76"/>
    </row>
    <row r="23" spans="1:17" ht="30" customHeight="1">
      <c r="A23" s="156" t="s">
        <v>204</v>
      </c>
      <c r="B23" s="31" t="s">
        <v>115</v>
      </c>
      <c r="D23" s="146" t="s">
        <v>247</v>
      </c>
      <c r="E23" s="146"/>
      <c r="F23" s="146"/>
      <c r="G23" s="146"/>
      <c r="H23" s="146"/>
      <c r="I23" s="146"/>
      <c r="J23" s="146"/>
      <c r="K23" s="146"/>
      <c r="L23" s="83"/>
      <c r="M23" s="83"/>
      <c r="N23" s="83"/>
      <c r="O23" s="81"/>
      <c r="P23" s="80"/>
      <c r="Q23" s="80"/>
    </row>
    <row r="24" spans="1:17" ht="30" customHeight="1">
      <c r="A24" s="157" t="s">
        <v>205</v>
      </c>
      <c r="B24" s="31" t="s">
        <v>116</v>
      </c>
      <c r="D24" s="146" t="s">
        <v>248</v>
      </c>
      <c r="E24" s="146"/>
      <c r="F24" s="146"/>
      <c r="G24" s="146"/>
      <c r="H24" s="146"/>
      <c r="I24" s="146"/>
      <c r="J24" s="146"/>
      <c r="K24" s="146"/>
      <c r="L24" s="83"/>
      <c r="M24" s="83"/>
      <c r="N24" s="83"/>
      <c r="O24" s="82"/>
      <c r="P24" s="79"/>
      <c r="Q24" s="79"/>
    </row>
    <row r="25" spans="1:17" ht="30" customHeight="1">
      <c r="A25" s="157" t="s">
        <v>226</v>
      </c>
      <c r="B25" s="31" t="s">
        <v>117</v>
      </c>
      <c r="D25" s="146"/>
      <c r="E25" s="146"/>
      <c r="F25" s="146"/>
      <c r="G25" s="146"/>
      <c r="H25" s="146"/>
      <c r="I25" s="146"/>
      <c r="J25" s="146"/>
      <c r="K25" s="146"/>
      <c r="L25" s="83"/>
      <c r="M25" s="83"/>
      <c r="N25" s="83"/>
      <c r="O25" s="82"/>
      <c r="P25" s="79"/>
      <c r="Q25" s="79"/>
    </row>
    <row r="26" spans="1:17" ht="50.1" customHeight="1">
      <c r="A26" s="157" t="s">
        <v>227</v>
      </c>
      <c r="B26" s="31" t="s">
        <v>118</v>
      </c>
      <c r="D26" s="146" t="s">
        <v>260</v>
      </c>
      <c r="E26" s="146"/>
      <c r="F26" s="146"/>
      <c r="G26" s="146"/>
      <c r="H26" s="146"/>
      <c r="I26" s="146"/>
      <c r="J26" s="146"/>
      <c r="K26" s="146"/>
      <c r="L26" s="84"/>
      <c r="M26" s="84"/>
      <c r="N26" s="84"/>
      <c r="O26" s="81"/>
      <c r="P26" s="80"/>
      <c r="Q26" s="80"/>
    </row>
    <row r="27" spans="1:17" ht="50.1" customHeight="1">
      <c r="A27" s="157" t="s">
        <v>207</v>
      </c>
      <c r="B27" s="31" t="s">
        <v>38</v>
      </c>
      <c r="D27" s="146" t="s">
        <v>249</v>
      </c>
      <c r="E27" s="146"/>
      <c r="F27" s="146"/>
      <c r="G27" s="146"/>
      <c r="H27" s="146"/>
      <c r="I27" s="146"/>
      <c r="J27" s="146"/>
      <c r="K27" s="146"/>
      <c r="L27" s="86"/>
      <c r="M27" s="86"/>
      <c r="N27" s="86"/>
      <c r="O27" s="76"/>
      <c r="P27" s="76"/>
      <c r="Q27" s="76"/>
    </row>
    <row r="28" spans="1:17" ht="50.1" customHeight="1">
      <c r="A28" s="157" t="s">
        <v>231</v>
      </c>
      <c r="B28" s="31" t="s">
        <v>119</v>
      </c>
      <c r="D28" s="146" t="s">
        <v>261</v>
      </c>
      <c r="E28" s="146"/>
      <c r="F28" s="146"/>
      <c r="G28" s="146"/>
      <c r="H28" s="146"/>
      <c r="I28" s="146"/>
      <c r="J28" s="146"/>
      <c r="K28" s="146"/>
      <c r="L28" s="84"/>
      <c r="M28" s="84"/>
      <c r="N28" s="84"/>
      <c r="O28" s="81"/>
      <c r="P28" s="80"/>
      <c r="Q28" s="80"/>
    </row>
    <row r="29" spans="1:17" ht="50.1" customHeight="1">
      <c r="A29" s="157" t="s">
        <v>178</v>
      </c>
      <c r="B29" s="31" t="s">
        <v>120</v>
      </c>
      <c r="D29" s="158" t="s">
        <v>269</v>
      </c>
      <c r="E29" s="159"/>
      <c r="F29" s="159"/>
      <c r="G29" s="159"/>
      <c r="H29" s="159"/>
      <c r="I29" s="159"/>
      <c r="J29" s="159"/>
      <c r="K29" s="160"/>
      <c r="L29" s="76"/>
      <c r="M29" s="76"/>
      <c r="N29" s="76"/>
      <c r="O29" s="76"/>
      <c r="P29" s="76"/>
      <c r="Q29" s="76"/>
    </row>
    <row r="31" spans="1:17">
      <c r="C31" s="140" t="s">
        <v>6</v>
      </c>
      <c r="D31" s="141" t="s">
        <v>42</v>
      </c>
      <c r="E31" s="33"/>
    </row>
    <row r="32" spans="1:17">
      <c r="C32" s="140" t="s">
        <v>13</v>
      </c>
      <c r="D32" s="142" t="s">
        <v>43</v>
      </c>
      <c r="E32" s="33"/>
    </row>
    <row r="33" spans="3:5">
      <c r="C33" s="140" t="s">
        <v>22</v>
      </c>
      <c r="D33" s="142" t="s">
        <v>44</v>
      </c>
      <c r="E33" s="33"/>
    </row>
    <row r="34" spans="3:5">
      <c r="C34" s="140" t="s">
        <v>27</v>
      </c>
      <c r="D34" s="142" t="s">
        <v>45</v>
      </c>
      <c r="E34" s="33"/>
    </row>
    <row r="35" spans="3:5">
      <c r="C35" s="140" t="s">
        <v>46</v>
      </c>
      <c r="D35" s="143" t="s">
        <v>265</v>
      </c>
      <c r="E35" s="33"/>
    </row>
    <row r="36" spans="3:5">
      <c r="C36" s="140" t="s">
        <v>15</v>
      </c>
      <c r="D36" s="144" t="s">
        <v>47</v>
      </c>
      <c r="E36" s="33"/>
    </row>
    <row r="37" spans="3:5">
      <c r="C37" s="140" t="s">
        <v>39</v>
      </c>
      <c r="D37" s="143" t="s">
        <v>49</v>
      </c>
      <c r="E37" s="33"/>
    </row>
    <row r="38" spans="3:5">
      <c r="C38" s="140" t="s">
        <v>48</v>
      </c>
      <c r="D38" s="144" t="s">
        <v>61</v>
      </c>
      <c r="E38" s="33"/>
    </row>
    <row r="39" spans="3:5">
      <c r="C39" s="140" t="s">
        <v>95</v>
      </c>
      <c r="D39" s="145" t="s">
        <v>143</v>
      </c>
    </row>
  </sheetData>
  <mergeCells count="24">
    <mergeCell ref="D29:K29"/>
    <mergeCell ref="D28:K28"/>
    <mergeCell ref="D13:K14"/>
    <mergeCell ref="D15:K15"/>
    <mergeCell ref="D21:K21"/>
    <mergeCell ref="D22:K22"/>
    <mergeCell ref="D26:K26"/>
    <mergeCell ref="D27:K27"/>
    <mergeCell ref="O2:Q3"/>
    <mergeCell ref="O1:Q1"/>
    <mergeCell ref="D19:K20"/>
    <mergeCell ref="D23:K23"/>
    <mergeCell ref="D24:K25"/>
    <mergeCell ref="D16:K17"/>
    <mergeCell ref="D18:K18"/>
    <mergeCell ref="F1:G1"/>
    <mergeCell ref="H1:I1"/>
    <mergeCell ref="K1:L1"/>
    <mergeCell ref="M1:N1"/>
    <mergeCell ref="D8:K8"/>
    <mergeCell ref="D9:K11"/>
    <mergeCell ref="J4:J5"/>
    <mergeCell ref="O4:Q5"/>
    <mergeCell ref="D12:K12"/>
  </mergeCells>
  <hyperlinks>
    <hyperlink ref="D36" r:id="rId1" xr:uid="{00000000-0004-0000-0200-000000000000}"/>
    <hyperlink ref="D38" r:id="rId2" display="https://www.wholesalesolar.com/cms/fullriver-dc400-6-agm-battery-specs-4017212128.pdf" xr:uid="{00000000-0004-0000-0200-000001000000}"/>
  </hyperlinks>
  <pageMargins left="0.7" right="0.7" top="0.75" bottom="0.75" header="0.3" footer="0.3"/>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Gráficos</vt:lpstr>
      </vt:variant>
      <vt:variant>
        <vt:i4>4</vt:i4>
      </vt:variant>
    </vt:vector>
  </HeadingPairs>
  <TitlesOfParts>
    <vt:vector size="7" baseType="lpstr">
      <vt:lpstr>LA</vt:lpstr>
      <vt:lpstr>Data</vt:lpstr>
      <vt:lpstr>Uncertanties</vt:lpstr>
      <vt:lpstr>17_EC</vt:lpstr>
      <vt:lpstr>22_LTN</vt:lpstr>
      <vt:lpstr>25_SE</vt:lpstr>
      <vt:lpstr>26_ED</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Windows User</dc:creator>
  <cp:lastModifiedBy>Roberto Ulises Ruiz Saucedo</cp:lastModifiedBy>
  <cp:revision/>
  <dcterms:created xsi:type="dcterms:W3CDTF">2020-01-16T16:11:58Z</dcterms:created>
  <dcterms:modified xsi:type="dcterms:W3CDTF">2020-10-12T22:24:47Z</dcterms:modified>
</cp:coreProperties>
</file>