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xml"/>
  <Override PartName="/xl/charts/chart22.xml" ContentType="application/vnd.openxmlformats-officedocument.drawingml.chart+xml"/>
  <Override PartName="/xl/drawings/drawing24.xml" ContentType="application/vnd.openxmlformats-officedocument.drawing+xml"/>
  <Override PartName="/xl/charts/chart23.xml" ContentType="application/vnd.openxmlformats-officedocument.drawingml.chart+xml"/>
  <Override PartName="/xl/drawings/drawing25.xml" ContentType="application/vnd.openxmlformats-officedocument.drawing+xml"/>
  <Override PartName="/xl/charts/chart24.xml" ContentType="application/vnd.openxmlformats-officedocument.drawingml.chart+xml"/>
  <Override PartName="/xl/drawings/drawing26.xml" ContentType="application/vnd.openxmlformats-officedocument.drawing+xml"/>
  <Override PartName="/xl/charts/chart25.xml" ContentType="application/vnd.openxmlformats-officedocument.drawingml.chart+xml"/>
  <Override PartName="/xl/drawings/drawing27.xml" ContentType="application/vnd.openxmlformats-officedocument.drawing+xml"/>
  <Override PartName="/xl/charts/chart26.xml" ContentType="application/vnd.openxmlformats-officedocument.drawingml.chart+xml"/>
  <Override PartName="/xl/drawings/drawing28.xml" ContentType="application/vnd.openxmlformats-officedocument.drawing+xml"/>
  <Override PartName="/xl/charts/chart27.xml" ContentType="application/vnd.openxmlformats-officedocument.drawingml.chart+xml"/>
  <Override PartName="/xl/drawings/drawing29.xml" ContentType="application/vnd.openxmlformats-officedocument.drawing+xml"/>
  <Override PartName="/xl/charts/chart28.xml" ContentType="application/vnd.openxmlformats-officedocument.drawingml.chart+xml"/>
  <Override PartName="/xl/drawings/drawing30.xml" ContentType="application/vnd.openxmlformats-officedocument.drawing+xml"/>
  <Override PartName="/xl/charts/chart29.xml" ContentType="application/vnd.openxmlformats-officedocument.drawingml.chart+xml"/>
  <Override PartName="/xl/drawings/drawing31.xml" ContentType="application/vnd.openxmlformats-officedocument.drawing+xml"/>
  <Override PartName="/xl/charts/chart30.xml" ContentType="application/vnd.openxmlformats-officedocument.drawingml.chart+xml"/>
  <Override PartName="/xl/drawings/drawing32.xml" ContentType="application/vnd.openxmlformats-officedocument.drawing+xml"/>
  <Override PartName="/xl/charts/chart3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03-PROY ALM ENE\04-INFORMES ESP\02\Tablas V11 ESPAÑOL\"/>
    </mc:Choice>
  </mc:AlternateContent>
  <xr:revisionPtr revIDLastSave="0" documentId="13_ncr:1_{FAE60CC7-FADF-4BE8-BB60-528E53F80CB8}" xr6:coauthVersionLast="45" xr6:coauthVersionMax="45" xr10:uidLastSave="{00000000-0000-0000-0000-000000000000}"/>
  <bookViews>
    <workbookView xWindow="-120" yWindow="-120" windowWidth="29040" windowHeight="15840" activeTab="2" xr2:uid="{00000000-000D-0000-FFFF-FFFF00000000}"/>
  </bookViews>
  <sheets>
    <sheet name="Lithium Ion" sheetId="2" r:id="rId1"/>
    <sheet name="Data" sheetId="3" r:id="rId2"/>
    <sheet name="Uncertanties" sheetId="6" r:id="rId3"/>
    <sheet name="03UES_L" sheetId="7" r:id="rId4"/>
    <sheet name="04UOC_L" sheetId="8" r:id="rId5"/>
    <sheet name="05URT_U" sheetId="9" r:id="rId6"/>
    <sheet name="06URT_L" sheetId="10" r:id="rId7"/>
    <sheet name="07UEL_U" sheetId="11" r:id="rId8"/>
    <sheet name="08UFO_L" sheetId="12" r:id="rId9"/>
    <sheet name="08UFO_U" sheetId="13" r:id="rId10"/>
    <sheet name="09UPO_U" sheetId="14" r:id="rId11"/>
    <sheet name="10UTL_L" sheetId="15" r:id="rId12"/>
    <sheet name="10UTL_U" sheetId="16" r:id="rId13"/>
    <sheet name="11UCT_L" sheetId="17" r:id="rId14"/>
    <sheet name="12UEC_L" sheetId="18" r:id="rId15"/>
    <sheet name="12UEC_U" sheetId="19" r:id="rId16"/>
    <sheet name="13UCC_L" sheetId="20" r:id="rId17"/>
    <sheet name="13UCC_U" sheetId="21" r:id="rId18"/>
    <sheet name="14UOP_L" sheetId="22" r:id="rId19"/>
    <sheet name="14UOP_U" sheetId="23" r:id="rId20"/>
    <sheet name="15UFO_L" sheetId="24" r:id="rId21"/>
    <sheet name="16UVO_L" sheetId="25" r:id="rId22"/>
    <sheet name="16UVO_U" sheetId="26" r:id="rId23"/>
    <sheet name="17UES_L" sheetId="27" r:id="rId24"/>
    <sheet name="17UES_U" sheetId="28" r:id="rId25"/>
    <sheet name="18UOC_L" sheetId="29" r:id="rId26"/>
    <sheet name="18UOC_U" sheetId="30" r:id="rId27"/>
    <sheet name="19UAI_L" sheetId="31" r:id="rId28"/>
    <sheet name="19UAI_U" sheetId="32" r:id="rId29"/>
    <sheet name="20ULT_L" sheetId="33" r:id="rId30"/>
    <sheet name="20ULT_U" sheetId="34" r:id="rId31"/>
    <sheet name="21USE_L" sheetId="35" r:id="rId32"/>
    <sheet name="21USE_U" sheetId="36" r:id="rId33"/>
    <sheet name="22UED_L" sheetId="37" r:id="rId34"/>
  </sheets>
  <externalReferences>
    <externalReference r:id="rId35"/>
    <externalReference r:id="rId36"/>
  </externalReferences>
  <definedNames>
    <definedName name="_Ref528590632" localSheetId="0">'Lithium Ion'!$D$43</definedName>
    <definedName name="_Ref528590707" localSheetId="0">'Lithium Ion'!#REF!</definedName>
    <definedName name="_Ref528591471" localSheetId="0">'Lithium Ion'!$D$45</definedName>
    <definedName name="_Ref528591483" localSheetId="0">'Lithium Ion'!$D$46</definedName>
    <definedName name="_Ref528591591" localSheetId="0">'Lithium Ion'!$D$47</definedName>
    <definedName name="_Ref528592058" localSheetId="0">'Lithium Ion'!$D$48</definedName>
    <definedName name="_Ref528592236" localSheetId="0">'Lithium Ion'!$D$51</definedName>
    <definedName name="_Ref528593310" localSheetId="0">'Lithium Ion'!$D$58</definedName>
    <definedName name="_Ref528654609" localSheetId="0">'Lithium Ion'!$D$49</definedName>
    <definedName name="_Ref528654640" localSheetId="0">'Lithium Ion'!#REF!</definedName>
    <definedName name="_Ref528667067" localSheetId="0">'Lithium Ion'!$D$52</definedName>
    <definedName name="_Ref528668644" localSheetId="0">'Lithium Ion'!$D$53</definedName>
    <definedName name="_Ref528668946" localSheetId="0">'Lithium Ion'!$D$54</definedName>
    <definedName name="_Ref528669041" localSheetId="0">'Lithium Ion'!$D$55</definedName>
    <definedName name="_Ref528669245" localSheetId="0">'Lithium Ion'!$D$56</definedName>
    <definedName name="_Ref528670685" localSheetId="0">'Lithium Ion'!$D$59</definedName>
    <definedName name="_Ref528918119" localSheetId="0">'Lithium Ion'!$D$57</definedName>
    <definedName name="_Toc528918118" localSheetId="0">'Lithium Ion'!$D$61</definedName>
    <definedName name="aa">#REF!</definedName>
    <definedName name="asdf">#REF!</definedName>
    <definedName name="asdfasfd">#REF!</definedName>
    <definedName name="b">#REF!</definedName>
    <definedName name="BTV11_15">'[1]arbejds ark LARGE New'!$K$33</definedName>
    <definedName name="bvcxx">#REF!</definedName>
    <definedName name="bvcxxx">#REF!</definedName>
    <definedName name="BVT17_15">'[1]arbejds ark LARGE New'!$S$67</definedName>
    <definedName name="d">#REF!</definedName>
    <definedName name="ddd">#REF!</definedName>
    <definedName name="ddddd">#REF!</definedName>
    <definedName name="e">#REF!</definedName>
    <definedName name="EUR16tilEUR15">'[1]22 Photovoltaics  LARGE Old'!$N$2</definedName>
    <definedName name="ewr">#REF!</definedName>
    <definedName name="fds">#REF!</definedName>
    <definedName name="h">#REF!</definedName>
    <definedName name="Index" localSheetId="0">#REF!</definedName>
    <definedName name="Index">#REF!</definedName>
    <definedName name="qwer">#REF!</definedName>
    <definedName name="sadf">#REF!</definedName>
    <definedName name="Sheet" localSheetId="0">#REF!</definedName>
    <definedName name="Sheet">#REF!</definedName>
    <definedName name="SheetNew1">#REF!</definedName>
    <definedName name="Start10" localSheetId="0">'Lithium Ion'!#REF!</definedName>
    <definedName name="Start10">'[2]03 Li-Ion Battery power-intens'!#REF!</definedName>
    <definedName name="Start13" localSheetId="0">#REF!</definedName>
    <definedName name="Start13">#REF!</definedName>
    <definedName name="Start14" localSheetId="0">#REF!</definedName>
    <definedName name="Start14">#REF!</definedName>
    <definedName name="Start15" localSheetId="0">#REF!</definedName>
    <definedName name="Start15">#REF!</definedName>
    <definedName name="Start16" localSheetId="0">#REF!</definedName>
    <definedName name="Start16">#REF!</definedName>
    <definedName name="Start17" localSheetId="0">#REF!</definedName>
    <definedName name="Start17">#REF!</definedName>
    <definedName name="Start18" localSheetId="0">#REF!</definedName>
    <definedName name="Start18">#REF!</definedName>
    <definedName name="Start19" localSheetId="0">#REF!</definedName>
    <definedName name="Start19">#REF!</definedName>
    <definedName name="Start2" localSheetId="0">#REF!</definedName>
    <definedName name="Start2">#REF!</definedName>
    <definedName name="Start20" localSheetId="0">#REF!</definedName>
    <definedName name="Start20">#REF!</definedName>
    <definedName name="Start21" localSheetId="0">#REF!</definedName>
    <definedName name="Start21">#REF!</definedName>
    <definedName name="Start22" localSheetId="0">#REF!</definedName>
    <definedName name="Start22">#REF!</definedName>
    <definedName name="Start23" localSheetId="0">#REF!</definedName>
    <definedName name="Start23">#REF!</definedName>
    <definedName name="Start24" localSheetId="0">#REF!</definedName>
    <definedName name="Start24">#REF!</definedName>
    <definedName name="Start25" localSheetId="0">#REF!</definedName>
    <definedName name="Start25">#REF!</definedName>
    <definedName name="Start26" localSheetId="0">#REF!</definedName>
    <definedName name="Start26">#REF!</definedName>
    <definedName name="Start27" localSheetId="0">#REF!</definedName>
    <definedName name="Start27">#REF!</definedName>
    <definedName name="Start28" localSheetId="0">#REF!</definedName>
    <definedName name="Start28">#REF!</definedName>
    <definedName name="Start29" localSheetId="0">#REF!</definedName>
    <definedName name="Start29">#REF!</definedName>
    <definedName name="Start3" localSheetId="0">#REF!</definedName>
    <definedName name="Start3">#REF!</definedName>
    <definedName name="Start30" localSheetId="0">#REF!</definedName>
    <definedName name="Start30">#REF!</definedName>
    <definedName name="Start31" localSheetId="0">#REF!</definedName>
    <definedName name="Start31">#REF!</definedName>
    <definedName name="Start32" localSheetId="0">#REF!</definedName>
    <definedName name="Start32">#REF!</definedName>
    <definedName name="Start33" localSheetId="0">#REF!</definedName>
    <definedName name="Start33">#REF!</definedName>
    <definedName name="Start34" localSheetId="0">#REF!</definedName>
    <definedName name="Start34">#REF!</definedName>
    <definedName name="Start35" localSheetId="0">#REF!</definedName>
    <definedName name="Start35">#REF!</definedName>
    <definedName name="Start36" localSheetId="0">#REF!</definedName>
    <definedName name="Start36">#REF!</definedName>
    <definedName name="Start37" localSheetId="0">#REF!</definedName>
    <definedName name="Start37">#REF!</definedName>
    <definedName name="Start38" localSheetId="0">#REF!</definedName>
    <definedName name="Start38">#REF!</definedName>
    <definedName name="Start39" localSheetId="0">#REF!</definedName>
    <definedName name="Start39">#REF!</definedName>
    <definedName name="Start4" localSheetId="0">#REF!</definedName>
    <definedName name="Start4">#REF!</definedName>
    <definedName name="Start40" localSheetId="0">#REF!</definedName>
    <definedName name="Start40">#REF!</definedName>
    <definedName name="Start41" localSheetId="0">#REF!</definedName>
    <definedName name="Start41">#REF!</definedName>
    <definedName name="Start42" localSheetId="0">#REF!</definedName>
    <definedName name="Start42">#REF!</definedName>
    <definedName name="Start43" localSheetId="0">#REF!</definedName>
    <definedName name="Start43">#REF!</definedName>
    <definedName name="Start44" localSheetId="0">#REF!</definedName>
    <definedName name="Start44">#REF!</definedName>
    <definedName name="Start45" localSheetId="0">#REF!</definedName>
    <definedName name="Start45">#REF!</definedName>
    <definedName name="Start46" localSheetId="0">#REF!</definedName>
    <definedName name="Start46">#REF!</definedName>
    <definedName name="Start47" localSheetId="0">#REF!</definedName>
    <definedName name="Start47">#REF!</definedName>
    <definedName name="Start5" localSheetId="0">#REF!</definedName>
    <definedName name="Start5">#REF!</definedName>
    <definedName name="Start6" localSheetId="0">#REF!</definedName>
    <definedName name="Start6">#REF!</definedName>
    <definedName name="Start7" localSheetId="0">#REF!</definedName>
    <definedName name="Start7">#REF!</definedName>
    <definedName name="w">#REF!</definedName>
    <definedName name="werwer">#REF!</definedName>
    <definedName name="www">#REF!</definedName>
    <definedName name="xc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2" l="1"/>
  <c r="D32" i="2" l="1"/>
  <c r="M23" i="3" s="1"/>
  <c r="O22" i="6" l="1"/>
  <c r="O21" i="6"/>
  <c r="M22" i="6"/>
  <c r="X20" i="6" s="1"/>
  <c r="R22" i="6"/>
  <c r="Y21" i="6" s="1"/>
  <c r="Q22" i="6"/>
  <c r="X21" i="6" s="1"/>
  <c r="N22" i="6"/>
  <c r="P21" i="6"/>
  <c r="R21" i="6"/>
  <c r="V21" i="6" s="1"/>
  <c r="Q21" i="6"/>
  <c r="U21" i="6" s="1"/>
  <c r="N21" i="6"/>
  <c r="V20" i="6" s="1"/>
  <c r="M21" i="6"/>
  <c r="P20" i="6"/>
  <c r="O20" i="6"/>
  <c r="R20" i="6"/>
  <c r="AB18" i="6" s="1"/>
  <c r="Q20" i="6"/>
  <c r="AA18" i="6" s="1"/>
  <c r="N20" i="6"/>
  <c r="M20" i="6"/>
  <c r="P19" i="6"/>
  <c r="O19" i="6"/>
  <c r="R19" i="6"/>
  <c r="Y18" i="6" s="1"/>
  <c r="Q19" i="6"/>
  <c r="X18" i="6" s="1"/>
  <c r="N19" i="6"/>
  <c r="M19" i="6"/>
  <c r="P18" i="6"/>
  <c r="O18" i="6"/>
  <c r="R18" i="6"/>
  <c r="V18" i="6" s="1"/>
  <c r="Q18" i="6"/>
  <c r="U18" i="6" s="1"/>
  <c r="N18" i="6"/>
  <c r="M18" i="6"/>
  <c r="P17" i="6"/>
  <c r="O17" i="6"/>
  <c r="R17" i="6"/>
  <c r="AB15" i="6" s="1"/>
  <c r="Q17" i="6"/>
  <c r="AA15" i="6" s="1"/>
  <c r="N17" i="6"/>
  <c r="M17" i="6"/>
  <c r="P16" i="6"/>
  <c r="O16" i="6"/>
  <c r="R16" i="6"/>
  <c r="Y15" i="6" s="1"/>
  <c r="Q16" i="6"/>
  <c r="X15" i="6" s="1"/>
  <c r="N16" i="6"/>
  <c r="M16" i="6"/>
  <c r="O15" i="6"/>
  <c r="R15" i="6"/>
  <c r="V15" i="6" s="1"/>
  <c r="Q15" i="6"/>
  <c r="U15" i="6" s="1"/>
  <c r="N15" i="6"/>
  <c r="M15" i="6"/>
  <c r="P14" i="6"/>
  <c r="O14" i="6"/>
  <c r="R14" i="6"/>
  <c r="AB12" i="6" s="1"/>
  <c r="Q14" i="6"/>
  <c r="AA12" i="6" s="1"/>
  <c r="N14" i="6"/>
  <c r="M14" i="6"/>
  <c r="P13" i="6"/>
  <c r="O13" i="6"/>
  <c r="R13" i="6"/>
  <c r="Y12" i="6" s="1"/>
  <c r="Q13" i="6"/>
  <c r="X12" i="6" s="1"/>
  <c r="N13" i="6"/>
  <c r="M13" i="6"/>
  <c r="P12" i="6"/>
  <c r="O12" i="6"/>
  <c r="R12" i="6"/>
  <c r="V12" i="6" s="1"/>
  <c r="Q12" i="6"/>
  <c r="U12" i="6" s="1"/>
  <c r="N12" i="6"/>
  <c r="M12" i="6"/>
  <c r="O11" i="6"/>
  <c r="R11" i="6"/>
  <c r="AB9" i="6" s="1"/>
  <c r="Q11" i="6"/>
  <c r="AA9" i="6" s="1"/>
  <c r="N11" i="6"/>
  <c r="M11" i="6"/>
  <c r="P10" i="6"/>
  <c r="O10" i="6"/>
  <c r="R10" i="6"/>
  <c r="Y9" i="6" s="1"/>
  <c r="Q10" i="6"/>
  <c r="X9" i="6" s="1"/>
  <c r="N10" i="6"/>
  <c r="Y8" i="6" s="1"/>
  <c r="M10" i="6"/>
  <c r="X8" i="6" s="1"/>
  <c r="P9" i="6"/>
  <c r="R9" i="6"/>
  <c r="V9" i="6" s="1"/>
  <c r="Q9" i="6"/>
  <c r="U9" i="6" s="1"/>
  <c r="N9" i="6"/>
  <c r="V8" i="6" s="1"/>
  <c r="M9" i="6"/>
  <c r="P8" i="6"/>
  <c r="O8" i="6"/>
  <c r="Q8" i="6"/>
  <c r="AA6" i="6" s="1"/>
  <c r="R8" i="6"/>
  <c r="AB6" i="6" s="1"/>
  <c r="N8" i="6"/>
  <c r="AB5" i="6" s="1"/>
  <c r="M8" i="6"/>
  <c r="P7" i="6"/>
  <c r="R7" i="6"/>
  <c r="Y6" i="6" s="1"/>
  <c r="Q7" i="6"/>
  <c r="X6" i="6" s="1"/>
  <c r="N7" i="6"/>
  <c r="H15" i="2" s="1"/>
  <c r="M7" i="6"/>
  <c r="O6" i="6"/>
  <c r="R6" i="6"/>
  <c r="V6" i="6" s="1"/>
  <c r="Q6" i="6"/>
  <c r="U6" i="6" s="1"/>
  <c r="N6" i="6"/>
  <c r="M6" i="6"/>
  <c r="P5" i="6"/>
  <c r="R5" i="6"/>
  <c r="AB3" i="6" s="1"/>
  <c r="Q5" i="6"/>
  <c r="AA3" i="6" s="1"/>
  <c r="N5" i="6"/>
  <c r="M5" i="6"/>
  <c r="O4" i="6"/>
  <c r="O3" i="6"/>
  <c r="R4" i="6"/>
  <c r="Y3" i="6" s="1"/>
  <c r="Q4" i="6"/>
  <c r="X3" i="6" s="1"/>
  <c r="N4" i="6"/>
  <c r="M4" i="6"/>
  <c r="R3" i="6"/>
  <c r="V3" i="6" s="1"/>
  <c r="Q3" i="6"/>
  <c r="U3" i="6" s="1"/>
  <c r="N3" i="6"/>
  <c r="M3" i="6"/>
  <c r="U2" i="6" s="1"/>
  <c r="O5" i="6" l="1"/>
  <c r="AA2" i="6"/>
  <c r="V2" i="6"/>
  <c r="P3" i="6"/>
  <c r="P4" i="6"/>
  <c r="Y2" i="6"/>
  <c r="H11" i="2"/>
  <c r="AB2" i="6"/>
  <c r="U5" i="6"/>
  <c r="G13" i="2"/>
  <c r="G14" i="2" s="1"/>
  <c r="G12" i="2" s="1"/>
  <c r="H13" i="2"/>
  <c r="H14" i="2" s="1"/>
  <c r="H12" i="2" s="1"/>
  <c r="V5" i="6"/>
  <c r="P6" i="6"/>
  <c r="G15" i="2"/>
  <c r="X5" i="6"/>
  <c r="O7" i="6"/>
  <c r="G16" i="2"/>
  <c r="AA5" i="6"/>
  <c r="U8" i="6"/>
  <c r="G17" i="2"/>
  <c r="H18" i="2"/>
  <c r="G19" i="2"/>
  <c r="AA8" i="6"/>
  <c r="AB8" i="6"/>
  <c r="H19" i="2"/>
  <c r="P11" i="6"/>
  <c r="G26" i="2"/>
  <c r="U11" i="6"/>
  <c r="H26" i="2"/>
  <c r="V11" i="6"/>
  <c r="G27" i="2"/>
  <c r="G33" i="2" s="1"/>
  <c r="X11" i="6"/>
  <c r="H27" i="2"/>
  <c r="H33" i="2" s="1"/>
  <c r="Y11" i="6"/>
  <c r="G28" i="2"/>
  <c r="AA11" i="6"/>
  <c r="H28" i="2"/>
  <c r="AB11" i="6"/>
  <c r="G29" i="2"/>
  <c r="U14" i="6"/>
  <c r="H29" i="2"/>
  <c r="V14" i="6"/>
  <c r="P15" i="6"/>
  <c r="G30" i="2"/>
  <c r="X14" i="6"/>
  <c r="H30" i="2"/>
  <c r="Y14" i="6"/>
  <c r="AA14" i="6"/>
  <c r="AB14" i="6"/>
  <c r="U17" i="6"/>
  <c r="V17" i="6"/>
  <c r="G34" i="2"/>
  <c r="X17" i="6"/>
  <c r="H34" i="2"/>
  <c r="Y17" i="6"/>
  <c r="G20" i="2"/>
  <c r="AA17" i="6"/>
  <c r="H20" i="2"/>
  <c r="AB17" i="6"/>
  <c r="U20" i="6"/>
  <c r="P22" i="6"/>
  <c r="Y20" i="6"/>
  <c r="X2" i="6"/>
  <c r="G11" i="2"/>
  <c r="Y5" i="6"/>
  <c r="G18" i="2"/>
  <c r="H17" i="2"/>
  <c r="G8" i="2"/>
  <c r="O9" i="6"/>
  <c r="H8" i="2"/>
  <c r="H16" i="2"/>
  <c r="G32" i="2" l="1"/>
  <c r="H32" i="2"/>
  <c r="D37" i="2"/>
  <c r="H37" i="2" l="1"/>
  <c r="G37" i="2"/>
  <c r="H35" i="3" l="1"/>
  <c r="D38" i="2" l="1"/>
  <c r="P5" i="3"/>
  <c r="P4" i="3"/>
  <c r="G38" i="2" l="1"/>
  <c r="H38" i="2"/>
  <c r="M30" i="3" l="1"/>
  <c r="M29" i="3"/>
  <c r="M26" i="3"/>
  <c r="M25" i="3"/>
  <c r="M24" i="3"/>
  <c r="M22" i="3"/>
  <c r="M21" i="3"/>
  <c r="M20" i="3"/>
  <c r="M19" i="3"/>
  <c r="M18" i="3"/>
  <c r="M14" i="3"/>
  <c r="M13" i="3"/>
  <c r="M12" i="3"/>
  <c r="M11" i="3"/>
  <c r="M10" i="3"/>
  <c r="M8" i="3"/>
  <c r="M6" i="3"/>
  <c r="M3" i="3"/>
  <c r="I30" i="3"/>
  <c r="I29" i="3"/>
  <c r="I28" i="3"/>
  <c r="I27" i="3"/>
  <c r="I26" i="3"/>
  <c r="I25" i="3"/>
  <c r="I24" i="3"/>
  <c r="I19" i="3"/>
  <c r="I18" i="3"/>
  <c r="I20" i="3"/>
  <c r="I23" i="3"/>
  <c r="I22" i="3"/>
  <c r="I21" i="3"/>
  <c r="I14" i="3"/>
  <c r="I13" i="3"/>
  <c r="I12" i="3"/>
  <c r="I11" i="3"/>
  <c r="I10" i="3"/>
  <c r="I9" i="3"/>
  <c r="I8" i="3"/>
  <c r="I7" i="3"/>
  <c r="I6" i="3"/>
  <c r="I5" i="3"/>
  <c r="I4" i="3"/>
  <c r="I3" i="3"/>
  <c r="G30" i="3"/>
  <c r="G29" i="3"/>
  <c r="G28" i="3"/>
  <c r="G27" i="3"/>
  <c r="G26" i="3"/>
  <c r="G25" i="3"/>
  <c r="G24" i="3"/>
  <c r="G23" i="3"/>
  <c r="G22" i="3"/>
  <c r="G21" i="3"/>
  <c r="G20" i="3"/>
  <c r="G19" i="3"/>
  <c r="G18" i="3"/>
  <c r="G14" i="3"/>
  <c r="G13" i="3"/>
  <c r="G12" i="3"/>
  <c r="G11" i="3"/>
  <c r="G10" i="3"/>
  <c r="G9" i="3"/>
  <c r="G8" i="3"/>
  <c r="G7" i="3"/>
  <c r="G6" i="3"/>
  <c r="G5" i="3"/>
  <c r="G4" i="3"/>
  <c r="G3" i="3"/>
  <c r="N26" i="3" l="1"/>
  <c r="N11" i="3"/>
  <c r="O11" i="3" s="1"/>
  <c r="N22" i="3"/>
  <c r="O22" i="3" s="1"/>
  <c r="F30" i="2" s="1"/>
  <c r="N30" i="3"/>
  <c r="O30" i="3" s="1"/>
  <c r="N20" i="3"/>
  <c r="E28" i="2" s="1"/>
  <c r="N10" i="3"/>
  <c r="N21" i="3"/>
  <c r="E29" i="2" s="1"/>
  <c r="N29" i="3"/>
  <c r="O29" i="3" s="1"/>
  <c r="N12" i="3"/>
  <c r="N23" i="3"/>
  <c r="N13" i="3"/>
  <c r="O13" i="3" s="1"/>
  <c r="F18" i="2" s="1"/>
  <c r="N24" i="3"/>
  <c r="N6" i="3"/>
  <c r="O6" i="3" s="1"/>
  <c r="N14" i="3"/>
  <c r="O14" i="3" s="1"/>
  <c r="F19" i="2" s="1"/>
  <c r="N25" i="3"/>
  <c r="E34" i="2" s="1"/>
  <c r="N18" i="3"/>
  <c r="O18" i="3" s="1"/>
  <c r="F26" i="2" s="1"/>
  <c r="N8" i="3"/>
  <c r="O8" i="3" s="1"/>
  <c r="N19" i="3"/>
  <c r="O19" i="3" s="1"/>
  <c r="F27" i="2" s="1"/>
  <c r="F33" i="2" s="1"/>
  <c r="N3" i="3"/>
  <c r="D14" i="2"/>
  <c r="D12" i="2" s="1"/>
  <c r="D9" i="2"/>
  <c r="O12" i="3" l="1"/>
  <c r="F17" i="2" s="1"/>
  <c r="E30" i="2"/>
  <c r="I30" i="2" s="1"/>
  <c r="O3" i="3"/>
  <c r="F8" i="2" s="1"/>
  <c r="E15" i="2"/>
  <c r="I15" i="2" s="1"/>
  <c r="O10" i="3"/>
  <c r="F15" i="2" s="1"/>
  <c r="E16" i="2"/>
  <c r="I16" i="2" s="1"/>
  <c r="F16" i="2"/>
  <c r="O24" i="3"/>
  <c r="E18" i="2"/>
  <c r="J18" i="2" s="1"/>
  <c r="O20" i="3"/>
  <c r="F28" i="2" s="1"/>
  <c r="F32" i="2" s="1"/>
  <c r="E19" i="2"/>
  <c r="J19" i="2" s="1"/>
  <c r="E26" i="2"/>
  <c r="O21" i="3"/>
  <c r="F29" i="2" s="1"/>
  <c r="O25" i="3"/>
  <c r="F34" i="2" s="1"/>
  <c r="O23" i="3"/>
  <c r="M4" i="3"/>
  <c r="N4" i="3" s="1"/>
  <c r="H9" i="2"/>
  <c r="G9" i="2"/>
  <c r="D25" i="2"/>
  <c r="D35" i="2"/>
  <c r="M27" i="3" s="1"/>
  <c r="N27" i="3" s="1"/>
  <c r="O27" i="3" s="1"/>
  <c r="D36" i="2"/>
  <c r="M28" i="3" s="1"/>
  <c r="N28" i="3" s="1"/>
  <c r="O28" i="3" s="1"/>
  <c r="J29" i="2"/>
  <c r="I29" i="2"/>
  <c r="J28" i="2"/>
  <c r="I28" i="2"/>
  <c r="J34" i="2"/>
  <c r="I34" i="2"/>
  <c r="E13" i="2"/>
  <c r="E20" i="2"/>
  <c r="O26" i="3"/>
  <c r="E11" i="2"/>
  <c r="M7" i="3"/>
  <c r="N7" i="3" s="1"/>
  <c r="O7" i="3" s="1"/>
  <c r="M9" i="3"/>
  <c r="N9" i="3" s="1"/>
  <c r="O9" i="3" s="1"/>
  <c r="E17" i="2"/>
  <c r="E27" i="2"/>
  <c r="E33" i="2" s="1"/>
  <c r="E8" i="2"/>
  <c r="E38" i="2" s="1"/>
  <c r="D10" i="2"/>
  <c r="M5" i="3" s="1"/>
  <c r="N5" i="3" s="1"/>
  <c r="O5" i="3" s="1"/>
  <c r="J30" i="2" l="1"/>
  <c r="I26" i="2"/>
  <c r="I32" i="2" s="1"/>
  <c r="E32" i="2"/>
  <c r="J15" i="2"/>
  <c r="J16" i="2"/>
  <c r="I18" i="2"/>
  <c r="O4" i="3"/>
  <c r="E9" i="2"/>
  <c r="I19" i="2"/>
  <c r="J26" i="2"/>
  <c r="J32" i="2" s="1"/>
  <c r="F25" i="2"/>
  <c r="I8" i="2"/>
  <c r="J8" i="2"/>
  <c r="E37" i="2"/>
  <c r="J27" i="2"/>
  <c r="J33" i="2" s="1"/>
  <c r="I27" i="2"/>
  <c r="I33" i="2" s="1"/>
  <c r="J17" i="2"/>
  <c r="I17" i="2"/>
  <c r="F11" i="2"/>
  <c r="J11" i="2"/>
  <c r="I11" i="2"/>
  <c r="F13" i="2"/>
  <c r="J13" i="2"/>
  <c r="I13" i="2"/>
  <c r="G10" i="2"/>
  <c r="G25" i="2"/>
  <c r="G35" i="2"/>
  <c r="G36" i="2"/>
  <c r="H10" i="2"/>
  <c r="H25" i="2"/>
  <c r="H35" i="2"/>
  <c r="H36" i="2"/>
  <c r="E14" i="2"/>
  <c r="E10" i="2"/>
  <c r="I9" i="2" l="1"/>
  <c r="J9" i="2"/>
  <c r="E25" i="2"/>
  <c r="I14" i="2"/>
  <c r="I12" i="2" s="1"/>
  <c r="J14" i="2"/>
  <c r="J12" i="2" s="1"/>
  <c r="F38" i="2"/>
  <c r="F36" i="2" s="1"/>
  <c r="I38" i="2"/>
  <c r="J38" i="2"/>
  <c r="E36" i="2"/>
  <c r="F37" i="2"/>
  <c r="F35" i="2" s="1"/>
  <c r="J37" i="2"/>
  <c r="I37" i="2"/>
  <c r="E35" i="2"/>
  <c r="F14" i="2"/>
  <c r="F12" i="2" s="1"/>
  <c r="E12" i="2"/>
  <c r="J35" i="2" l="1"/>
  <c r="I36" i="2"/>
  <c r="J36" i="2"/>
  <c r="I35" i="2"/>
  <c r="J10" i="2"/>
  <c r="J25" i="2"/>
  <c r="I10" i="2"/>
  <c r="I25" i="2"/>
</calcChain>
</file>

<file path=xl/sharedStrings.xml><?xml version="1.0" encoding="utf-8"?>
<sst xmlns="http://schemas.openxmlformats.org/spreadsheetml/2006/main" count="565" uniqueCount="314">
  <si>
    <t>Technical Data</t>
  </si>
  <si>
    <t xml:space="preserve">Lifetime in Total Number of Cycles </t>
  </si>
  <si>
    <t>Technology</t>
  </si>
  <si>
    <t>Ref</t>
  </si>
  <si>
    <t>Energy/technical data</t>
  </si>
  <si>
    <t>Form of energy stored</t>
  </si>
  <si>
    <t>Application</t>
  </si>
  <si>
    <t>Energy storage capacity for one unit (MWh)</t>
  </si>
  <si>
    <t>A</t>
  </si>
  <si>
    <t>Output capacity for one unit (MW)</t>
  </si>
  <si>
    <t>Input capacity for one unit (MW)</t>
  </si>
  <si>
    <t>Round trip efficiency (%) AC</t>
  </si>
  <si>
    <t>B</t>
  </si>
  <si>
    <t>Round trip efficiency (%) DC</t>
  </si>
  <si>
    <t>C</t>
  </si>
  <si>
    <t>[1]</t>
  </si>
  <si>
    <t>- Discharge efficiency (%)</t>
  </si>
  <si>
    <t>Energy losses during storage (%/day)</t>
  </si>
  <si>
    <t>D</t>
  </si>
  <si>
    <t>Forced outage (%)</t>
  </si>
  <si>
    <t>E</t>
  </si>
  <si>
    <t>Planned outage (weeks per year)</t>
  </si>
  <si>
    <t>Technical lifetime (years)</t>
  </si>
  <si>
    <t>F</t>
  </si>
  <si>
    <t>Construction time (years)</t>
  </si>
  <si>
    <t>[11]</t>
  </si>
  <si>
    <t>Regulation ability</t>
  </si>
  <si>
    <t>Response time from idle to full-rated discharge (sec)</t>
  </si>
  <si>
    <t>&lt;0.08</t>
  </si>
  <si>
    <t>G</t>
  </si>
  <si>
    <t>[19]</t>
  </si>
  <si>
    <t>Response time from full-rated charge to full-rated discharge (sec)</t>
  </si>
  <si>
    <t>Financial data</t>
  </si>
  <si>
    <t>H</t>
  </si>
  <si>
    <t>- energy component (MUSD/MWh)</t>
  </si>
  <si>
    <t>[14]</t>
  </si>
  <si>
    <t>- capacity component (MUSD/MW) PCS</t>
  </si>
  <si>
    <t>[23]</t>
  </si>
  <si>
    <t>- other project costs (MUSD/MWh)</t>
  </si>
  <si>
    <t>J</t>
  </si>
  <si>
    <t>K</t>
  </si>
  <si>
    <t>Variable O&amp;M (USD2020/MWh)</t>
  </si>
  <si>
    <t>L</t>
  </si>
  <si>
    <t>[21]</t>
  </si>
  <si>
    <t>Technology specific data</t>
  </si>
  <si>
    <t>M</t>
  </si>
  <si>
    <t>N</t>
  </si>
  <si>
    <t>[20-22]</t>
  </si>
  <si>
    <t>O</t>
  </si>
  <si>
    <t>Lifetime in total number of cycles</t>
  </si>
  <si>
    <t>P</t>
  </si>
  <si>
    <t>Specific power (W/kg)</t>
  </si>
  <si>
    <t>Q</t>
  </si>
  <si>
    <t>Power density (kW/m3)</t>
  </si>
  <si>
    <t>Specific energy (Wh/kg)</t>
  </si>
  <si>
    <t>Energy density (kWh/m3)</t>
  </si>
  <si>
    <t>Samsung. ESS Batteries by Samsung SDI Top Safety &amp; Reliability Solutions, (2018). http://www.samsungsdi.com/upload/ess_brochure/201809_SamsungSDI ESS_EN.pdf</t>
  </si>
  <si>
    <t>L. Kokam Co. Total Energy Storage Solution Provider, (2018). http://kokam.com/data/2018_Kokam_ESS_Brochure_ver_5.0.pdf</t>
  </si>
  <si>
    <t>L. Kokam Co. Kokam Li-ion / Polymer Cell, (2017).  http://kokam.com/data/Kokam_Cell_Brochure_V.4.pdf</t>
  </si>
  <si>
    <t>StoraXe. StoraXe Industrial &amp; Infrastructure Scalable battery storage system, (2018). https://www.ads-tec.de/fileadmin/download/doc/brochure/Datasheet_Energy_Industrial_EN.pdf</t>
  </si>
  <si>
    <t>Altairnano. 24 V 60 Ah Battery Module, (2016). https://altairnano.com/products/battery-module/</t>
  </si>
  <si>
    <t>Samsung, Smart Battery Systems for Energy Storage, (2016). http://www.samsungsdi.com/upload/ess_brochure/Samsung SDI brochure_EN.pdf</t>
  </si>
  <si>
    <t>Electropaedia. Battery Performance Characteristics - How to specify and test a battery, (2018). https://www.mpoweruk.com/performance.htm</t>
  </si>
  <si>
    <t>A.H. Fathima, K. Palanisamy. Renewable systems and energy storages for hybrid systems, Ed(s): A. Hina Fathima, et al., in  Hybrid-renewable energy systems in microgrids. Woodhead Publishing (2018), pp. 162. https://doi.org/10.1016/B978-0-08-102493-5.00008-X</t>
  </si>
  <si>
    <t xml:space="preserve">Lazard. Levelized Cost of Storage (2017)., https://www.lazard.com/perspective/levelized-cost-of-storage-2017/ </t>
  </si>
  <si>
    <t>LG Chem. Change your energy. Change your life., (2018). http://www.lgchem.com/upload/file/product/LGChem_Catalog_Global_2018.pdf</t>
  </si>
  <si>
    <t>Tesla. Addressing Peak Energy Demand with the Tesla Powerpack, (2016). https://www.tesla.com/da_DK/blog/addressing-peak-energy-demand-tesla-powerpack?redirect=no</t>
  </si>
  <si>
    <t>Tesla. Tesla Powerpack to Enable Large Scale Sustainable Energy to South Australia, (2017). https://www.tesla.com/da_DK/blog/Tesla-powerpack-enable-large-scale-sustainable-energy-south-australia?redirect=no Page</t>
  </si>
  <si>
    <t>Energy Storage Association. Frequency Regulation Services and a Firm Wind Product: AES Energy Storage Laurel Mountain Battery Energy Storage, (2018). http://energystorage.org/energy-storage/case-studies/frequency-regulation-services-and-firm-wind-product-aes-energy-storage</t>
  </si>
  <si>
    <t>Bloomberg New Energy Finance. New Energy Outlook 2018, (2018). https://bnef.turtl.co/story/neo2018.pdf?autoprint=true&amp;teaser=true</t>
  </si>
  <si>
    <t>International Renewable Energy Agency. IRENA Battery Storage Report, (2015). http://www.irena.org/-/media/Files/IRENA/Agency/Publication/2015/IRENA_Battery_Storage_report_2015.pdf</t>
  </si>
  <si>
    <t>International Renewable Energy Agency. Electricity Storage and Renewables : Costs and Markets To 2030, (2017). http://www.irena.org/publications/2017/Oct/Electricity-storage-and-renewables-costs-and-markets</t>
  </si>
  <si>
    <t>Danish Technological Institute. BESS project Smart grid ready Battery Energy Storage System for future grid, (2017). https://www.energiforskning.dk/sites/energiteknologi.dk/files/slutrapporter/bess_final_report_forskel_10731.pdf</t>
  </si>
  <si>
    <t>H. Chen, T.N. Cong, W. Yang, C. Tan, Y. Li, Y. Ding, Progress in electrical energy storage system: A critical review, Prog. Nat. Sci. 19 (2009) 291–312. doi:10.1016/j.pnsc.2008.07.014</t>
  </si>
  <si>
    <t>D.M. Greenwood, K.Y. Lim, C. Patsios, P.F. Lyons, Y.S. Lim, P.C. Taylor, Frequency response services designed for energy storage, Appl. Energy. 203 (2017) 115–127. doi:10.1016/j.apenergy.2017.06.046</t>
  </si>
  <si>
    <t>R. Benato, G. Bruno, F. Palone, R.M. Polito, M. Rebolini, Large-scale electrochemical energy storage in high voltage grids: Overview of the Italian experience, Energies. 10 (2017) 1-17. doi:10.3390/en10010108</t>
  </si>
  <si>
    <t>B. Zakeri, S. Syri, Electrical energy storage systems: A comparative life cycle cost analysis, Renew. Sustain. Energy Rev. 42 (2015) 569–596. doi:10.1016/j.rser.2014.10.011</t>
  </si>
  <si>
    <t>G. Huff, A.B. Currier, B.C. Kaun, D.M. Rastler, S.B. Chen, D.T. Bradshaw, W.D. Gauntlett, DOE/EPRI electricity storage handbook in collaboration with NRECA, (2015). https://www.sandia.gov/ess-ssl/publications/SAND2015-1002.pdf</t>
  </si>
  <si>
    <t>Danish Energy Agency. (2019). Technogy Data for Energy Storage. Copenhagen, Denmark. Retrieved from https://ens.dk/sites/ens.dk/files/Analyser/technology_data_catalogue_for_energy_storage.pdf</t>
  </si>
  <si>
    <t>20-30 (%)</t>
  </si>
  <si>
    <t>30-50 (%)</t>
  </si>
  <si>
    <t>&lt;0,08</t>
  </si>
  <si>
    <t>m [W]</t>
  </si>
  <si>
    <t>m³</t>
  </si>
  <si>
    <t>kWh</t>
  </si>
  <si>
    <t>m [D]</t>
  </si>
  <si>
    <t>m [H]</t>
  </si>
  <si>
    <t>[24]</t>
  </si>
  <si>
    <t>Fixed O&amp;M (kUSD2020/MW/year)</t>
  </si>
  <si>
    <t>ABB</t>
  </si>
  <si>
    <t>ESC</t>
  </si>
  <si>
    <t>OCO</t>
  </si>
  <si>
    <t>RTE</t>
  </si>
  <si>
    <t>CE</t>
  </si>
  <si>
    <t>ELS</t>
  </si>
  <si>
    <t>FO</t>
  </si>
  <si>
    <t>PO</t>
  </si>
  <si>
    <t>TL</t>
  </si>
  <si>
    <t>CT</t>
  </si>
  <si>
    <t>EC</t>
  </si>
  <si>
    <t>CC</t>
  </si>
  <si>
    <t>OPC</t>
  </si>
  <si>
    <t>FOM</t>
  </si>
  <si>
    <t>VOM</t>
  </si>
  <si>
    <t>ESE</t>
  </si>
  <si>
    <t>OCE</t>
  </si>
  <si>
    <t>AIC</t>
  </si>
  <si>
    <t>LTN</t>
  </si>
  <si>
    <t>SE</t>
  </si>
  <si>
    <t>ED</t>
  </si>
  <si>
    <t>Schmidt, O., Melchior, S., Hawkes, A., &amp; Staffell, I. (2019). Projecting the Future Levelized Cost of Electricity Storage Technologies. Joule, 3(1), 81–100. https://doi.org/10.1016/j.joule.2018.12.008</t>
  </si>
  <si>
    <t>[1, 6]</t>
  </si>
  <si>
    <t>[2, 8, 9, 17]</t>
  </si>
  <si>
    <t>[7, 16, 18]</t>
  </si>
  <si>
    <t>[2, 4, 5, 6]</t>
  </si>
  <si>
    <t>[2-4, 6]</t>
  </si>
  <si>
    <t>[14, 15]</t>
  </si>
  <si>
    <t>[9, 12, 20]</t>
  </si>
  <si>
    <t>[13, 14, 15, 20-22]</t>
  </si>
  <si>
    <t>[1, 10]</t>
  </si>
  <si>
    <r>
      <t xml:space="preserve">Energy Storage Capacity for One Unit </t>
    </r>
    <r>
      <rPr>
        <sz val="10"/>
        <color theme="1"/>
        <rFont val="Montserrat Medium"/>
        <family val="3"/>
      </rPr>
      <t>(MWh)</t>
    </r>
  </si>
  <si>
    <r>
      <t xml:space="preserve">Output Capacity for One Unit </t>
    </r>
    <r>
      <rPr>
        <sz val="10"/>
        <color theme="1"/>
        <rFont val="Montserrat Medium"/>
        <family val="3"/>
      </rPr>
      <t>(MW)</t>
    </r>
  </si>
  <si>
    <r>
      <t>Input Capacity for One Unit</t>
    </r>
    <r>
      <rPr>
        <sz val="10"/>
        <color theme="1"/>
        <rFont val="Montserrat Medium"/>
        <family val="3"/>
      </rPr>
      <t xml:space="preserve"> (MW)</t>
    </r>
  </si>
  <si>
    <r>
      <t xml:space="preserve">Round Trip Efficiency </t>
    </r>
    <r>
      <rPr>
        <sz val="10"/>
        <color theme="1"/>
        <rFont val="Montserrat Medium"/>
        <family val="3"/>
      </rPr>
      <t>(%)</t>
    </r>
    <r>
      <rPr>
        <b/>
        <sz val="10"/>
        <color theme="1"/>
        <rFont val="Montserrat Medium"/>
        <family val="3"/>
      </rPr>
      <t xml:space="preserve"> AC</t>
    </r>
  </si>
  <si>
    <r>
      <t xml:space="preserve">Round Trip Efficiency </t>
    </r>
    <r>
      <rPr>
        <sz val="10"/>
        <color theme="1"/>
        <rFont val="Montserrat Medium"/>
        <family val="3"/>
      </rPr>
      <t>(%)</t>
    </r>
    <r>
      <rPr>
        <b/>
        <sz val="10"/>
        <color theme="1"/>
        <rFont val="Montserrat Medium"/>
        <family val="3"/>
      </rPr>
      <t xml:space="preserve"> DC</t>
    </r>
  </si>
  <si>
    <r>
      <t xml:space="preserve">Charge Efficiency </t>
    </r>
    <r>
      <rPr>
        <sz val="10"/>
        <color theme="1"/>
        <rFont val="Montserrat Medium"/>
        <family val="3"/>
      </rPr>
      <t>(%)</t>
    </r>
  </si>
  <si>
    <r>
      <t xml:space="preserve">Discharge Efficiency </t>
    </r>
    <r>
      <rPr>
        <sz val="10"/>
        <color theme="1"/>
        <rFont val="Montserrat Medium"/>
        <family val="3"/>
      </rPr>
      <t>(%)</t>
    </r>
  </si>
  <si>
    <r>
      <t xml:space="preserve">Energy Losses during Storage </t>
    </r>
    <r>
      <rPr>
        <sz val="10"/>
        <color theme="1"/>
        <rFont val="Montserrat Medium"/>
        <family val="3"/>
      </rPr>
      <t>(%/day)</t>
    </r>
  </si>
  <si>
    <r>
      <t xml:space="preserve">Forced Outage </t>
    </r>
    <r>
      <rPr>
        <sz val="10"/>
        <color theme="1"/>
        <rFont val="Montserrat Medium"/>
        <family val="3"/>
      </rPr>
      <t>(%)</t>
    </r>
  </si>
  <si>
    <r>
      <t xml:space="preserve">Planned Outage </t>
    </r>
    <r>
      <rPr>
        <sz val="10"/>
        <color theme="1"/>
        <rFont val="Montserrat Medium"/>
        <family val="3"/>
      </rPr>
      <t>(weeks per year)</t>
    </r>
  </si>
  <si>
    <r>
      <t xml:space="preserve">Technical Lifetime </t>
    </r>
    <r>
      <rPr>
        <sz val="10"/>
        <color theme="1"/>
        <rFont val="Montserrat Medium"/>
        <family val="3"/>
      </rPr>
      <t>(years)</t>
    </r>
  </si>
  <si>
    <r>
      <t xml:space="preserve">Construction Time </t>
    </r>
    <r>
      <rPr>
        <sz val="10"/>
        <color theme="1"/>
        <rFont val="Montserrat Medium"/>
        <family val="3"/>
      </rPr>
      <t>(years)</t>
    </r>
  </si>
  <si>
    <r>
      <t xml:space="preserve">Response Time from Idle to Full-Rated Discharge </t>
    </r>
    <r>
      <rPr>
        <sz val="10"/>
        <color theme="1"/>
        <rFont val="Montserrat Medium"/>
        <family val="3"/>
      </rPr>
      <t>(sec)</t>
    </r>
  </si>
  <si>
    <r>
      <t xml:space="preserve">Response Time from Full-Rated Charge to Full-Rated Discharge </t>
    </r>
    <r>
      <rPr>
        <sz val="10"/>
        <color theme="1"/>
        <rFont val="Montserrat Medium"/>
        <family val="3"/>
      </rPr>
      <t>(sec)</t>
    </r>
  </si>
  <si>
    <r>
      <t xml:space="preserve">Specific Investment </t>
    </r>
    <r>
      <rPr>
        <sz val="10"/>
        <color theme="1"/>
        <rFont val="Montserrat Medium"/>
        <family val="3"/>
      </rPr>
      <t>(MUSD2015 per MWh)</t>
    </r>
  </si>
  <si>
    <r>
      <t xml:space="preserve">Energy Component </t>
    </r>
    <r>
      <rPr>
        <sz val="10"/>
        <color theme="1"/>
        <rFont val="Montserrat Medium"/>
        <family val="3"/>
      </rPr>
      <t>(MUSD2015 per MWh)</t>
    </r>
  </si>
  <si>
    <r>
      <t xml:space="preserve">Capacity Component </t>
    </r>
    <r>
      <rPr>
        <sz val="10"/>
        <color theme="1"/>
        <rFont val="Montserrat Medium"/>
        <family val="3"/>
      </rPr>
      <t>(MUSD per MW)</t>
    </r>
  </si>
  <si>
    <r>
      <t xml:space="preserve">Other Project Costs </t>
    </r>
    <r>
      <rPr>
        <sz val="10"/>
        <color theme="1"/>
        <rFont val="Montserrat Medium"/>
        <family val="3"/>
      </rPr>
      <t>(ME/MWh)</t>
    </r>
  </si>
  <si>
    <r>
      <t xml:space="preserve">Fixed O&amp;M </t>
    </r>
    <r>
      <rPr>
        <sz val="10"/>
        <color theme="1"/>
        <rFont val="Montserrat Medium"/>
        <family val="3"/>
      </rPr>
      <t>(MUSD2020/MW/year)</t>
    </r>
  </si>
  <si>
    <r>
      <t xml:space="preserve">Variable O&amp;M </t>
    </r>
    <r>
      <rPr>
        <sz val="10"/>
        <color theme="1"/>
        <rFont val="Montserrat Medium"/>
        <family val="3"/>
      </rPr>
      <t>(MUSD2020/MW/year)</t>
    </r>
  </si>
  <si>
    <r>
      <t xml:space="preserve">Energy storage expansion cost </t>
    </r>
    <r>
      <rPr>
        <sz val="10"/>
        <color theme="1"/>
        <rFont val="Montserrat Medium"/>
        <family val="3"/>
      </rPr>
      <t>(M$2015/MWh)</t>
    </r>
  </si>
  <si>
    <r>
      <t xml:space="preserve">Output capacity expansion cost </t>
    </r>
    <r>
      <rPr>
        <sz val="10"/>
        <color theme="1"/>
        <rFont val="Montserrat Medium"/>
        <family val="3"/>
      </rPr>
      <t>(M$2015/MW)</t>
    </r>
  </si>
  <si>
    <r>
      <t xml:space="preserve">Alternative Investment cost </t>
    </r>
    <r>
      <rPr>
        <sz val="10"/>
        <color theme="1"/>
        <rFont val="Montserrat Medium"/>
        <family val="3"/>
      </rPr>
      <t>(M$2015/MW)</t>
    </r>
  </si>
  <si>
    <r>
      <t xml:space="preserve">Specific power </t>
    </r>
    <r>
      <rPr>
        <sz val="10"/>
        <color theme="1"/>
        <rFont val="Montserrat Medium"/>
        <family val="3"/>
      </rPr>
      <t>(W/kg)</t>
    </r>
  </si>
  <si>
    <r>
      <t xml:space="preserve">Round Trip Efficiency </t>
    </r>
    <r>
      <rPr>
        <sz val="10"/>
        <color theme="1"/>
        <rFont val="Montserrat Medium"/>
        <family val="3"/>
      </rPr>
      <t>(%) AC</t>
    </r>
  </si>
  <si>
    <r>
      <t>Energy Component (</t>
    </r>
    <r>
      <rPr>
        <sz val="10"/>
        <color theme="1"/>
        <rFont val="Montserrat Medium"/>
        <family val="3"/>
      </rPr>
      <t>MUSD/MWh)</t>
    </r>
  </si>
  <si>
    <r>
      <t>Capacity Componenet (</t>
    </r>
    <r>
      <rPr>
        <sz val="10"/>
        <color theme="1"/>
        <rFont val="Montserrat Medium"/>
        <family val="3"/>
      </rPr>
      <t>MUSD/MW)</t>
    </r>
  </si>
  <si>
    <r>
      <t xml:space="preserve">Other Project Cost </t>
    </r>
    <r>
      <rPr>
        <sz val="10"/>
        <color theme="1"/>
        <rFont val="Montserrat Medium"/>
        <family val="3"/>
      </rPr>
      <t>(MUSD/MWh)</t>
    </r>
  </si>
  <si>
    <r>
      <t xml:space="preserve">Variable O&amp;M </t>
    </r>
    <r>
      <rPr>
        <sz val="10"/>
        <color theme="1"/>
        <rFont val="Montserrat Medium"/>
        <family val="3"/>
      </rPr>
      <t>(USD2020/MWh)</t>
    </r>
  </si>
  <si>
    <r>
      <t>Energy Storage Expansion Cost</t>
    </r>
    <r>
      <rPr>
        <sz val="10"/>
        <color theme="1"/>
        <rFont val="Montserrat Medium"/>
        <family val="3"/>
      </rPr>
      <t xml:space="preserve"> (MUSD2020/MWh)</t>
    </r>
  </si>
  <si>
    <r>
      <t xml:space="preserve">Output Capacity Expansion Cost </t>
    </r>
    <r>
      <rPr>
        <sz val="10"/>
        <color theme="1"/>
        <rFont val="Montserrat Medium"/>
        <family val="3"/>
      </rPr>
      <t>(MUSD2020/MW)</t>
    </r>
  </si>
  <si>
    <r>
      <t xml:space="preserve">Alternative Investment Cost </t>
    </r>
    <r>
      <rPr>
        <sz val="10"/>
        <color theme="1"/>
        <rFont val="Montserrat Medium"/>
        <family val="3"/>
      </rPr>
      <t>(MUSD2020/MW)</t>
    </r>
  </si>
  <si>
    <r>
      <t xml:space="preserve">Specific Energy </t>
    </r>
    <r>
      <rPr>
        <sz val="10"/>
        <color theme="1"/>
        <rFont val="Montserrat Medium"/>
        <family val="3"/>
      </rPr>
      <t>(Wh/kg)</t>
    </r>
  </si>
  <si>
    <r>
      <t xml:space="preserve">Energy Density </t>
    </r>
    <r>
      <rPr>
        <sz val="10"/>
        <color theme="1"/>
        <rFont val="Montserrat Medium"/>
        <family val="3"/>
      </rPr>
      <t>(kWh/m3)</t>
    </r>
  </si>
  <si>
    <t>Cálculo de peso, volumen y energía para Specific Energy and Energy Density</t>
  </si>
  <si>
    <t>Energy storage expansion cost (M$2020/MWh)</t>
  </si>
  <si>
    <t>Output capacity expansion cost (M$2020/MW)</t>
  </si>
  <si>
    <t>Alternative Investment cost (M$2020/MW)</t>
  </si>
  <si>
    <t>- Charge efficiency (%)</t>
  </si>
  <si>
    <t>Specific investment (MUSD2020 per MWh)</t>
  </si>
  <si>
    <t>Tecnología</t>
  </si>
  <si>
    <t>Datos de energía/tecnicos</t>
  </si>
  <si>
    <t>Forma de energía almacenada</t>
  </si>
  <si>
    <t xml:space="preserve">Aplicación </t>
  </si>
  <si>
    <t>Eficiencia de carga (%)</t>
  </si>
  <si>
    <t>Eficiencia de descarga (%)</t>
  </si>
  <si>
    <t>Perdida de energía durante el almacenamiento (%/día)</t>
  </si>
  <si>
    <t>Interrupción forzada (%)</t>
  </si>
  <si>
    <t>Interrupción planificada (Semanas por año)</t>
  </si>
  <si>
    <t>Tiempo de vida técnico (años)</t>
  </si>
  <si>
    <t>Tiempo de construcción (años)</t>
  </si>
  <si>
    <t>Tiempo de vida técnico (número total de ciclos)</t>
  </si>
  <si>
    <t>Habilidad de regulación</t>
  </si>
  <si>
    <t>Tiempo de respuesta desde inactivo hasta descarga nominal completa (seg)</t>
  </si>
  <si>
    <t>Tiempo de respuesta desde la carga nominal completa hasta la descarga nominal completa (seg)</t>
  </si>
  <si>
    <t>Datos Financieros</t>
  </si>
  <si>
    <t>Datos especifico por tecnologia</t>
  </si>
  <si>
    <t>Poder especifico (W/kg)</t>
  </si>
  <si>
    <t>Densidad de poder (W/m3)</t>
  </si>
  <si>
    <t>Energía específica (Wh/kg)</t>
  </si>
  <si>
    <t>Densidad de energia (Wh/m3)</t>
  </si>
  <si>
    <t>Capacidad de almacenamiento por unidad (MWh)</t>
  </si>
  <si>
    <t>Tiempo de respuesta desde inactivo hasta descarga nominal completa (seg.)</t>
  </si>
  <si>
    <t>Inversión especifica (MUSD2020 / MWh)</t>
  </si>
  <si>
    <t>Componente de energía de la inversión especifica (MUSD/MWh)</t>
  </si>
  <si>
    <t>Costos Fijos de Operación y Mantenimiento (kUSD2020/MW/año)</t>
  </si>
  <si>
    <t>Costos Variables de Operación y Mantenimiento (USD2020/kWh/año)</t>
  </si>
  <si>
    <t>Capacidad de inyección/descarga por unidad (MW)</t>
  </si>
  <si>
    <t>Capacidad de entrada por unidad (MW)</t>
  </si>
  <si>
    <t>Eficiencia de ciclo (%) DC</t>
  </si>
  <si>
    <t>Eficiencia de ciclo (%) CA</t>
  </si>
  <si>
    <t xml:space="preserve"> - otros costos del proyecto (MUSD/MWh)</t>
  </si>
  <si>
    <t>Electroquímica</t>
  </si>
  <si>
    <t>Sistema, intensivo en energía (2 h)</t>
  </si>
  <si>
    <t>Batería NMC de iones de litio (escala de utilidad, Samsung SDI E3-R135)</t>
  </si>
  <si>
    <t>Incertidumbre (2020)</t>
  </si>
  <si>
    <t>Incertidumbre (2030)</t>
  </si>
  <si>
    <t>Nota</t>
  </si>
  <si>
    <t>Baja</t>
  </si>
  <si>
    <t>Alta</t>
  </si>
  <si>
    <t>Tasa de cambio  (USD/EUR)</t>
  </si>
  <si>
    <t>Notas</t>
  </si>
  <si>
    <t>Referencias</t>
  </si>
  <si>
    <t>A. Una unidad definida como un contenedor de 40 pies que incluye el sistema LIB y excluye el sistema de conversión de energía. Los valores para 2015-2030 se toman de los folletos Samsung SDI para LIB conectados a la red de 2016 y 2018 [1,6]. Esta unidad de 6MWh / 3MW (0.5C) es una batería de escala de cuadrícula de tamaño típico para cambio de energía y reducción de picos. El costo de inversión específico en los datos financieros se proporciona para una batería de 1MWh: 0.5MW (0.5C). En la siguiente sección se dan ejemplos de costos de una batería de 2MWh / 8MW y una de 16MWh / 4MW.</t>
  </si>
  <si>
    <t xml:space="preserve">C. La tasa C es 0.5 durante la carga y puede ser de hasta 6 durante la descarga para las baterías Samsung SDI [1,6]. Las eficiencias de conversión presentadas asumen tasas C de carga y descarga promedio en 2015-2020 alrededor de 0.5. Las tasas de C más altas durante la descarga disminuirán ligeramente la eficiencia. </t>
  </si>
  <si>
    <t>G. El tiempo de respuesta se obtiene a partir de experimentos de tiempo de respuesta simulado con hardware en el bucle [19].</t>
  </si>
  <si>
    <t>H. Los pronósticos específicos del sistema incluyen rack, TMS, BMS, EMS y PCS. El pronóstico se calcula como la suma del PCS, la celda de la batería y otros costos. La previsión específica del sistema son los cables de alimentación exclusivos del emplazamiento y el trabajo del empresario para la instalación de los contenedores [14,15]. El costo de inversión específico es el costo total de una batería de 1MWh: 0.5MW (0.5C).</t>
  </si>
  <si>
    <t>I. El costo de conversión de energía depende en gran medida de la escalabilidad y la aplicación. El costo de PCS se basa en referencias [20-22] y refleja la necesidad de un alto rendimiento energético y el cumplimiento de los códigos de la red para proporcionar servicios auxiliares, flujo de electricidad bidireccional y conversión en dos etapas, así como la etapa inicial de desarrollo y el hecho que pocos fabricantes pueden garantizar sistemas llave en mano. Se espera la sustitución del inversor cada 10 años. El inversor bidireccional proporcionado aquí tiene más o menos la misma capacidad de carga y descarga (MW).</t>
  </si>
  <si>
    <t>J. Otros costos incluyen costos de construcción y trabajo empresarial. Estos costos dependen en gran medida de la ubicación, el sustrato y el acceso al sitio. Los cables de alimentación al sitio y el trabajo del empresario para la instalación de los contenedores están incluidos en otros costos. Por lo tanto, se supone que otros costos se correlacionan, aproximadamente, con el tamaño del sistema. Se espera que la automatización reduzca otros costos a partir de 2030 en adelante. Las estimaciones se han extraído de la bibliografía [9, 12, 20].</t>
  </si>
  <si>
    <t>K. Se asume que la O&amp;M fija es constante, aunque la O&amp;M puede depender de la aplicación [9].</t>
  </si>
  <si>
    <t>L. Se supone que la O&amp;M variable será de 2,3 USD / MWh en 2015 con un rango de 0,4 a 5,6 [21].</t>
  </si>
  <si>
    <t>M. Dado que los sistemas LIB de múltiples MWh son escalares, se estima que el costo de expansión del almacenamiento de energía es igual al componente de energía más los “otros costos” [14, 15].</t>
  </si>
  <si>
    <t>N. Dado que los sistemas LIB de varios MW son escalares, el costo de expansión de la capacidad es igual al costo del componente de capacidad [20-22].</t>
  </si>
  <si>
    <t>O. El coste de inversión alternativo en MUSD2015 / MW se especifica para un sistema de 4C, 0,25 h como para el sistema de almacenamiento LIB a escala de red de Laurel Mountain, West Virginia, EE. UU. [13]. Es decir. el costo de inversión alternativa es el 25% del costo de expansión del almacenamiento de energía más el costo de PCS [13,14,15,20-22].</t>
  </si>
  <si>
    <t>P. Ciclo de vida especificado como el número de ciclos a 1C / 1C al 80% del estado de salud. El informe técnico de Samsung SDI 2016 sobre las soluciones ESS proporciona una vida útil de 15 años para los módulos actuales que funcionan entre C / 2 y 3C [6]. Se espera una mejora constante en la vida útil de la batería debido a una mejor gestión de los materiales y la batería. Las soluciones Kokam ESS también se clasifican en más de 8000-20000 ciclos (80-90% DOD) según la química [2]. Por lo tanto, para los ciclos completos de carga y descarga diarios, las baterías están diseñadas para durar entre 15 y 50 años si las unidades de soporte funcionan bien. La vida útil se indica para las baterías comerciales basadas en ánodo de grafito y LTO de Kokam. Los ciclos de vida están aumentando constantemente en los últimos años, como se refleja en las cifras de 2020/2030 [3,4,6].</t>
  </si>
  <si>
    <t>F. NMC LIB de última generación tiene una vida útil de 20 años. Se espera que la vida útil del NMC tenga una vida útil LTO para 2020 y 30 años para los LIB conectados a la red en 2040 y 2050, como lo tienen los sistemas de energía fotovoltaica en la actualidad [2,4,5,6].</t>
  </si>
  <si>
    <t>E. Se espera que no haya ninguna interrupción durante la vida útil del LIB conectado a la red. Solo unos días durante p. Ej. Se necesitan 15 años de vida útil para el servicio y el intercambio de ventiladores y ventiladores para el sistema de gestión térmica y el sistema de conversión de energía. Se espera que la interrupción forzada disminuya con una solidez creciente a raíz de la tasa de aprendizaje y la producción acumulada. Se espera que la interrupción planificada disminuya debido a una mayor automatización.</t>
  </si>
  <si>
    <t>D. Pérdida de descarga diaria de la batería de iones de litio. Las estimaciones centrales para la autodescarga de las baterías de iones de litio oscilan entre 0,05% y 0,20% por día en 2016 y se espera que se mantengan estables hasta 2030.</t>
  </si>
  <si>
    <t>B. La eficiencia de ida y vuelta de CA incluye pérdidas en la electrónica de potencia y es 2-4% menor que la eficiencia de ida y vuelta de CC. La eficiencia total de ida y vuelta incluye además las pérdidas en espera, lo que hace que la eficiencia total de ida y vuelta oscile entre el 80% y el 90% [8,9].</t>
  </si>
  <si>
    <t xml:space="preserve">P. La potencia específica, la densidad de potencia, la energía específica y la densidad de energía se proporcionan para 0,5 ° C, lo que refleja la energía y la capacidad de potencia en la hoja de datos. El desarrollo esperado depende de los sucesivos avances en I + D [1,10].  </t>
  </si>
  <si>
    <t>Datos tecnicos</t>
  </si>
  <si>
    <t>Perdida de Energía durante el almacenamiento (%/día)</t>
  </si>
  <si>
    <t>Tiempo de respuesta del estado inactivo a la descarga completa (seg)</t>
  </si>
  <si>
    <t>Inversión especifica (MUSD2015 / MWh)</t>
  </si>
  <si>
    <t>Componente de energía de la inversión especifica (MUSD2015/MWh)</t>
  </si>
  <si>
    <t>Componente de capacidad de la inversión especifica (MUSD/MW)</t>
  </si>
  <si>
    <t>Costos Variables de Operación y Mantenimiento (MUSD2020/MW/año)</t>
  </si>
  <si>
    <t>Vida útil en número total de ciclos</t>
  </si>
  <si>
    <t>Poder especifíco (W/kg)</t>
  </si>
  <si>
    <t>Energía específica  (Wh/kg)</t>
  </si>
  <si>
    <t>Eficiencia de ciclo (%) AC</t>
  </si>
  <si>
    <t>Costo de expansión del almacenamiento de energía (M$2015/MWh)</t>
  </si>
  <si>
    <t>Costo de expansión de la capacidad de producción (M$2015/MW)</t>
  </si>
  <si>
    <t>Interrupción planificada (semanas por año)</t>
  </si>
  <si>
    <t>Otros costos del Proyecto (ME/MWh)</t>
  </si>
  <si>
    <t>Costos Fijos de Operación y Mantenimiento (MUSD2020/MW/año)</t>
  </si>
  <si>
    <t>Costo de inversión alternativo (M$2015/ MW)</t>
  </si>
  <si>
    <t>Densidad de poder (kW/m3)</t>
  </si>
  <si>
    <t>Densidad de energía (Wh/m3)</t>
  </si>
  <si>
    <t>Tasa de cambio entre los años 2030 y 2020</t>
  </si>
  <si>
    <t>Tasa de cambio entre los años 2050 y 2030</t>
  </si>
  <si>
    <t>Referencia</t>
  </si>
  <si>
    <t>Procedimiento seguido para determinar la proyección</t>
  </si>
  <si>
    <r>
      <t xml:space="preserve">Proyección de acuerdo con la tasa de cambio </t>
    </r>
    <r>
      <rPr>
        <sz val="10"/>
        <color theme="1"/>
        <rFont val="Montserrat Medium"/>
        <family val="3"/>
      </rPr>
      <t>(2030-2020 and 2050-2030)</t>
    </r>
  </si>
  <si>
    <t>tasa de cambio</t>
  </si>
  <si>
    <t>Peso/Weight:</t>
  </si>
  <si>
    <t>Volumen/Volume:</t>
  </si>
  <si>
    <t>Energía/Energy:</t>
  </si>
  <si>
    <t>De [1]:</t>
  </si>
  <si>
    <t>1. Se repite el dato del año 2020 para 2030 y 2050 porque no tendrá variación por su madurez tecnológica.</t>
  </si>
  <si>
    <t>Pérdidas de energía durante el almacenamiento (% / día)</t>
  </si>
  <si>
    <t>Densidad de energía (kWh/m3)</t>
  </si>
  <si>
    <t>Vida técnica (años)</t>
  </si>
  <si>
    <t>Otros costos del proyecto (MUSD/MWh)</t>
  </si>
  <si>
    <t>Costo de expansión de la capacidad de producción (MUSD2020 / MW)</t>
  </si>
  <si>
    <t>Costo de inversión alternativa (MUSD2020 / MW)</t>
  </si>
  <si>
    <t>Costos Variables de Operación y Mantenimiento (USD2020/MWh)</t>
  </si>
  <si>
    <t>2020 (Incertidumbre)</t>
  </si>
  <si>
    <t>2050 (Incertidumbre)</t>
  </si>
  <si>
    <t>Tasa de cambio 2020</t>
  </si>
  <si>
    <t>Tasa de cambio 2030</t>
  </si>
  <si>
    <t>Tasa de cambio 2050</t>
  </si>
  <si>
    <t>Año</t>
  </si>
  <si>
    <t>Alta (%)</t>
  </si>
  <si>
    <t>Baja(%)</t>
  </si>
  <si>
    <t>NOTA</t>
  </si>
  <si>
    <t>1.La incertidumbre se calcula con el comportamiento numérico similar de [1].2. La tasa de cambio para 2030 se estima mediante regresión lineal entre la tasa de cambio 2020 y 2050.</t>
  </si>
  <si>
    <t>Potencia específica (W / kg)</t>
  </si>
  <si>
    <t>Densidad de potencia (kW / m3)</t>
  </si>
  <si>
    <t>1. La incertidumbre no está disponible para estos parámetros, por lo que se repitieron los datos de 2020 y 2030</t>
  </si>
  <si>
    <t>Costo de expansión del almacenamiento de energía (MUSD2020 / MWh)</t>
  </si>
  <si>
    <t xml:space="preserve"> - Componente de energía (MUSD/MWh)</t>
  </si>
  <si>
    <t xml:space="preserve"> - Componente de capacidad (MUSD/MWh) PCS</t>
  </si>
  <si>
    <t>[2]</t>
  </si>
  <si>
    <t>[3]</t>
  </si>
  <si>
    <t>[4]</t>
  </si>
  <si>
    <t>[5]</t>
  </si>
  <si>
    <t>[6]</t>
  </si>
  <si>
    <t>[7]</t>
  </si>
  <si>
    <t>[8]</t>
  </si>
  <si>
    <t>[9]</t>
  </si>
  <si>
    <t>[10]</t>
  </si>
  <si>
    <t>[12]</t>
  </si>
  <si>
    <t>[13]</t>
  </si>
  <si>
    <t>[15]</t>
  </si>
  <si>
    <t>[16]</t>
  </si>
  <si>
    <t>[17]</t>
  </si>
  <si>
    <t>[18]</t>
  </si>
  <si>
    <t>[20]</t>
  </si>
  <si>
    <t>[22]</t>
  </si>
  <si>
    <t>Costo de expansión del almacenamiento de energía (M$ 2020/MWh)</t>
  </si>
  <si>
    <t>Costo de expansión de la capacidad de producción (M$ 2020/MW)</t>
  </si>
  <si>
    <t>Costo de inversión alternativa (M$ 2020/MW)</t>
  </si>
  <si>
    <t>1. Los datos de los años 2015, 2020, 2030 y 2050 se muestran en estas hojas de [23]. 
2. Los datos seleccionados para 2020 son tipos de datos puntuales de [1, 6]. 
3. Las proyecciones tienen un comportamiento numérico similar a [23] con la tasa de cambio estimada aplicada para estimar la proyección del valor de [1, 6]</t>
  </si>
  <si>
    <t>1. Los datos de los años 2015, 2020, 2030 y 2050 se muestran en estas hojas de [23].
2. Los datos seleccionados para 2020 son tipos de datos puntuales de [2, 8, 9, 17]. 
3. Las proyecciones tienen un comportamiento numérico similar a [23] con la tasa de cambio estimada aplicada para estimar la proyección del valor de [2, 8, 9, 17].</t>
  </si>
  <si>
    <t>1. Los datos de los años 2015, 2020, 2030 y 2050 se muestran en estas hojas de [23]. 
2. Los datos seleccionados para 2020 son tipos de datos puntuales de [1]. 
3. Las proyecciones tienen un comportamiento numérico similar a [23] con la tasa de cambio estimada aplicada para estimar la proyección del valor a partir de [1].</t>
  </si>
  <si>
    <t>1. Los datos de los años 2015, 2020, 2030 y 2050 se muestran en estas hojas de [23].
 2. Los datos seleccionados para 2020 son tipos de datos puntuales de [7, 16, 18]. 
3. Las proyecciones tienen un comportamiento numérico similar a [23] con la tasa de cambio estimada aplicada para estimar la proyección del valor de [7, 16, 18].</t>
  </si>
  <si>
    <t>1. Los datos de los años 2015, 2020, 2030 y 2050 se muestran en estas hojas de [23]. 
2. La tasa de canje se mantiene al 2030 y 2050, ya que no tendrá variación por su madurez tecnológica.</t>
  </si>
  <si>
    <t>1. Los datos de los años 2015, 2020, 2030 y 2050 se muestran en estas hojas de [23]. 
2. Los datos seleccionados para 2020 son tipos de datos puntuales de [2, 4, 5, 6]. 
3. Las proyecciones tienen un comportamiento numérico similar a [23] con la tasa de cambio estimada aplicada para estimar la proyección del valor de [2, 4, 5, 6].</t>
  </si>
  <si>
    <t>1. Los datos de los años 2015, 2020, 2030 y 2050 se muestran en estas hojas de [23]. 
2. Los datos seleccionados para 2020 son tipos de datos puntuales de [11]. 
3. Las proyecciones tienen un comportamiento numérico similar a [23] con la tasa de cambio estimada aplicada para estimar la proyección del valor de [11].</t>
  </si>
  <si>
    <t>1. Los datos de este parámetro se calcularon con una ecuación para Inversión Específica (ver hoja de Iones de Litio). 
2. En el capítulo de Introducción del Catálogo, se define la ecuación de Inversión Específica.</t>
  </si>
  <si>
    <t>1. Los datos de los años 2015, 2020, 2030 y 2050 se muestran en estas hojas de [24]. 
2. Los datos seleccionados para 2020 son tipos de datos puntuales de [14]. 
3. Las proyecciones tienen un comportamiento numérico similar a [24] con la tasa de cambio estimada aplicada para estimar la proyección del valor de [14].</t>
  </si>
  <si>
    <t>1. Los datos de los años 2015, 2020, 2030 y 2050 se muestran en estas hojas de [23]. 
2. La relación de canje es constante al 2030 y 2050, porque no tendrá variación por su madurez tecnológica.</t>
  </si>
  <si>
    <t>1. Los datos de los años 2015, 2020, 2030 y 2050 se muestran en estas hojas de [23]. 
2. Los datos seleccionados para 2020 son tipos de datos puntuales de [9, 12, 20]. 
3. Las proyecciones tienen un comportamiento numérico similar a [23] con la tasa de cambio estimada aplicada para estimar la proyección del valor de [9, 12, 20].</t>
  </si>
  <si>
    <t>1. Los datos de los años 2015, 2020, 2030 y 2050 se muestran en estas hojas de [23]. 
2. La relación de canje es constante al 2030 y 2050, porque no tendrá variación por su madurez tecnológica.
3. La proyección es una tasa de cambio porque no hay datos históricos.</t>
  </si>
  <si>
    <t>1. Los datos de los años 2015, 2020, 2030 y 2050 se muestran en estas hojas de [23]. 
2. Los datos seleccionados para 2020 son tipos de datos puntuales de [21]. 
3. Las proyecciones tienen un comportamiento numérico similar a [23] con la tasa de cambio estimada aplicada para estimar la proyección del valor de [21].</t>
  </si>
  <si>
    <t>1. Los datos de los años 2015, 2020, 2030 y 2050 se muestran en estas hojas de [23]. 
2. Los datos seleccionados para 2020 son tipos de datos puntuales de [14, 15]. 
3. Las proyecciones tienen un comportamiento numérico similar a [23] con la tasa de cambio estimada aplicada para estimar la proyección del valor de [14, 15].</t>
  </si>
  <si>
    <t>1. Los datos de los años 2015, 2020, 2030 y 2050 se muestran en estas hojas de [23]. 
2. Los datos seleccionados para 2020 son tipos de datos puntuales de [20, 22]. 
3. Las proyecciones tienen un comportamiento numérico similar a [23] con la tasa de cambio estimada aplicada para estimar la proyección del valor de [20, 22].</t>
  </si>
  <si>
    <t>1. Los datos de los años 2015, 2020, 2030 y 2050 se muestran en estas hojas de [23]. 
2. Los datos seleccionados para 2020 son tipos de datos puntuales de [13, 14, 15, 20-22].
3. Las proyecciones tienen un comportamiento numérico similar a [23] con la tasa de cambio estimada aplicada para estimar la proyección del valor de [13, 14, 15, 20-22].</t>
  </si>
  <si>
    <t>1. Los datos de los años 2015, 2020, 2030 y 2050 se muestran en estas hojas de [23]. 
2. Los datos seleccionados para 2020 son tipos de datos puntuales de [2-4, 6]. 
3. Las proyecciones tienen un comportamiento numérico similar a [23] con la tasa de cambio estimada aplicada para estimar la proyección del valor de [2-4, 6].</t>
  </si>
  <si>
    <t>1. Estos datos técnicos se calcularon con una ecuación de potencia específica (ver hoja de iones de litio).
2. En el capítulo de Introducción del Catálogo, se define la ecuación de Poder Específico.</t>
  </si>
  <si>
    <t>1. Estos datos técnicos se calcularon con una ecuación de densidad de potencia (consulte la hoja de iones de litio).
2. En el capítulo de Introducción del Catálogo, se define la ecuación de Densidad de Potencia.</t>
  </si>
  <si>
    <t>1. Los datos de los años 2015, 2020, 2030 y 2050 se muestran en estas hojas de [23]. 
2. Los datos seleccionados para 2020 son tipos de datos puntuales de [1, 10].
3. Las proyecciones tienen un comportamiento numérico similar a [23] con el valor de [1,10]</t>
  </si>
  <si>
    <t>1. Estos datos técnicos se calcularon con una ecuación de densidad de potencia (consulte la hoja de iones de litio). 
2. En el capítulo de Introducción del Catálogo, se define la ecuación de Densidad de Potencia.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</si>
</sst>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000"/>
    <numFmt numFmtId="166" formatCode="0.000"/>
    <numFmt numFmtId="167" formatCode="0.0"/>
  </numFmts>
  <fonts count="30" x14ac:knownFonts="1">
    <font>
      <sz val="11"/>
      <color theme="1"/>
      <name val="Calibri"/>
      <family val="2"/>
      <scheme val="minor"/>
    </font>
    <font>
      <sz val="11"/>
      <color theme="1"/>
      <name val="Calibri"/>
      <family val="2"/>
      <scheme val="minor"/>
    </font>
    <font>
      <sz val="10"/>
      <name val="Helv"/>
    </font>
    <font>
      <u/>
      <sz val="10"/>
      <color indexed="12"/>
      <name val="Arial"/>
      <family val="2"/>
    </font>
    <font>
      <u/>
      <sz val="11"/>
      <color theme="10"/>
      <name val="Calibri"/>
      <family val="2"/>
      <scheme val="minor"/>
    </font>
    <font>
      <sz val="11"/>
      <color indexed="62"/>
      <name val="Calibri"/>
      <family val="2"/>
    </font>
    <font>
      <sz val="11"/>
      <color indexed="60"/>
      <name val="Calibri"/>
      <family val="2"/>
    </font>
    <font>
      <sz val="10"/>
      <name val="Arial"/>
      <family val="2"/>
    </font>
    <font>
      <b/>
      <sz val="11"/>
      <color indexed="63"/>
      <name val="Calibri"/>
      <family val="2"/>
    </font>
    <font>
      <b/>
      <sz val="11"/>
      <color indexed="8"/>
      <name val="Calibri"/>
      <family val="2"/>
    </font>
    <font>
      <sz val="11"/>
      <color theme="1"/>
      <name val="Montserrat Medium"/>
      <family val="3"/>
    </font>
    <font>
      <b/>
      <sz val="8"/>
      <color theme="1"/>
      <name val="Montserrat Medium"/>
      <family val="3"/>
    </font>
    <font>
      <sz val="8"/>
      <color theme="1"/>
      <name val="Montserrat Medium"/>
      <family val="3"/>
    </font>
    <font>
      <i/>
      <sz val="11"/>
      <color theme="0" tint="-0.34998626667073579"/>
      <name val="Montserrat Medium"/>
      <family val="3"/>
    </font>
    <font>
      <sz val="6"/>
      <color theme="1"/>
      <name val="Montserrat Medium"/>
      <family val="3"/>
    </font>
    <font>
      <b/>
      <sz val="11"/>
      <color theme="1"/>
      <name val="Montserrat Medium"/>
      <family val="3"/>
    </font>
    <font>
      <sz val="10"/>
      <color theme="1"/>
      <name val="Montserrat Medium"/>
      <family val="3"/>
    </font>
    <font>
      <b/>
      <sz val="9"/>
      <color theme="1"/>
      <name val="Montserrat Medium"/>
      <family val="3"/>
    </font>
    <font>
      <sz val="9"/>
      <color theme="1"/>
      <name val="Montserrat Medium"/>
      <family val="3"/>
    </font>
    <font>
      <b/>
      <sz val="10"/>
      <color theme="1"/>
      <name val="Montserrat Medium"/>
      <family val="3"/>
    </font>
    <font>
      <b/>
      <sz val="9"/>
      <color theme="1"/>
      <name val="Montserrat Medium"/>
    </font>
    <font>
      <b/>
      <sz val="11"/>
      <color theme="1"/>
      <name val="Montserrat Medium"/>
    </font>
    <font>
      <sz val="10"/>
      <color theme="1"/>
      <name val="Montserrat Medium"/>
    </font>
    <font>
      <sz val="9"/>
      <color rgb="FF000000"/>
      <name val="Montserrat Medium"/>
      <family val="3"/>
    </font>
    <font>
      <sz val="9"/>
      <color theme="1"/>
      <name val="Montserrat Medium"/>
    </font>
    <font>
      <i/>
      <sz val="9"/>
      <color theme="1"/>
      <name val="Montserrat Medium"/>
    </font>
    <font>
      <b/>
      <sz val="10"/>
      <color theme="1"/>
      <name val="Montserrat Medium"/>
    </font>
    <font>
      <i/>
      <sz val="10"/>
      <color theme="1"/>
      <name val="Montserrat Medium"/>
    </font>
    <font>
      <sz val="10"/>
      <color theme="1"/>
      <name val="Montserrat Light"/>
    </font>
    <font>
      <sz val="9"/>
      <name val="Montserrat Medium"/>
      <family val="3"/>
    </font>
  </fonts>
  <fills count="6">
    <fill>
      <patternFill patternType="none"/>
    </fill>
    <fill>
      <patternFill patternType="gray125"/>
    </fill>
    <fill>
      <patternFill patternType="solid">
        <fgColor rgb="FFFFFFFF"/>
        <bgColor indexed="64"/>
      </patternFill>
    </fill>
    <fill>
      <patternFill patternType="solid">
        <fgColor indexed="47"/>
      </patternFill>
    </fill>
    <fill>
      <patternFill patternType="solid">
        <fgColor indexed="43"/>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3">
    <xf numFmtId="0" fontId="0" fillId="0" borderId="0"/>
    <xf numFmtId="43" fontId="1"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0" fontId="5" fillId="3" borderId="4" applyNumberFormat="0" applyAlignment="0" applyProtection="0"/>
    <xf numFmtId="43" fontId="1"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xf numFmtId="0" fontId="6" fillId="4" borderId="0" applyNumberFormat="0" applyBorder="0" applyAlignment="0" applyProtection="0"/>
    <xf numFmtId="0" fontId="7" fillId="0" borderId="0"/>
    <xf numFmtId="0" fontId="2" fillId="0" borderId="0"/>
    <xf numFmtId="0" fontId="7" fillId="0" borderId="0"/>
    <xf numFmtId="0" fontId="7" fillId="0" borderId="0"/>
    <xf numFmtId="0" fontId="8" fillId="5" borderId="5" applyNumberFormat="0" applyAlignment="0" applyProtection="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 fillId="0" borderId="6" applyNumberFormat="0" applyFill="0" applyAlignment="0" applyProtection="0"/>
    <xf numFmtId="9" fontId="1" fillId="0" borderId="0" applyFont="0" applyFill="0" applyBorder="0" applyAlignment="0" applyProtection="0"/>
  </cellStyleXfs>
  <cellXfs count="124">
    <xf numFmtId="0" fontId="0" fillId="0" borderId="0" xfId="0"/>
    <xf numFmtId="0" fontId="10" fillId="0" borderId="0" xfId="0" applyFont="1"/>
    <xf numFmtId="0" fontId="13" fillId="0" borderId="0" xfId="0" applyFont="1"/>
    <xf numFmtId="0" fontId="14" fillId="2" borderId="0" xfId="0" applyFont="1" applyFill="1" applyBorder="1" applyAlignment="1">
      <alignment vertical="center"/>
    </xf>
    <xf numFmtId="0" fontId="15" fillId="0" borderId="0" xfId="0" applyFont="1"/>
    <xf numFmtId="0" fontId="10" fillId="0" borderId="0" xfId="0" applyFont="1" applyAlignment="1">
      <alignment horizontal="left"/>
    </xf>
    <xf numFmtId="0" fontId="10" fillId="0" borderId="0" xfId="0" applyFont="1" applyFill="1"/>
    <xf numFmtId="0" fontId="10" fillId="0" borderId="0" xfId="0" applyFont="1" applyFill="1" applyAlignment="1">
      <alignment horizontal="left"/>
    </xf>
    <xf numFmtId="0" fontId="16" fillId="0" borderId="0" xfId="0" applyFont="1"/>
    <xf numFmtId="0" fontId="16" fillId="0" borderId="0" xfId="0" applyFont="1" applyAlignment="1">
      <alignment horizontal="left" vertical="center"/>
    </xf>
    <xf numFmtId="0" fontId="16" fillId="0" borderId="0" xfId="0" applyFont="1" applyFill="1"/>
    <xf numFmtId="0" fontId="16" fillId="0" borderId="0" xfId="0" applyFont="1" applyFill="1" applyAlignment="1">
      <alignment horizontal="left"/>
    </xf>
    <xf numFmtId="0" fontId="16" fillId="0" borderId="0" xfId="0" applyFont="1" applyFill="1" applyAlignment="1">
      <alignment horizontal="left" vertical="center"/>
    </xf>
    <xf numFmtId="167" fontId="16" fillId="0" borderId="0" xfId="0" applyNumberFormat="1" applyFont="1" applyFill="1" applyAlignment="1">
      <alignment horizontal="center" vertical="center"/>
    </xf>
    <xf numFmtId="166" fontId="16" fillId="0" borderId="0" xfId="0" applyNumberFormat="1" applyFont="1" applyFill="1" applyAlignment="1">
      <alignment horizontal="center" vertical="center"/>
    </xf>
    <xf numFmtId="0" fontId="16" fillId="0" borderId="0" xfId="0" applyFont="1" applyFill="1" applyAlignment="1">
      <alignment horizontal="right"/>
    </xf>
    <xf numFmtId="0" fontId="19" fillId="0" borderId="1" xfId="0" applyFont="1" applyFill="1" applyBorder="1" applyAlignment="1">
      <alignment horizontal="left" vertical="center" wrapText="1"/>
    </xf>
    <xf numFmtId="166" fontId="16" fillId="0" borderId="1" xfId="22" applyNumberFormat="1" applyFont="1" applyFill="1" applyBorder="1" applyAlignment="1">
      <alignment horizontal="center" vertical="center"/>
    </xf>
    <xf numFmtId="0" fontId="20" fillId="0" borderId="14" xfId="0" applyFont="1" applyFill="1" applyBorder="1" applyAlignment="1">
      <alignment vertical="center"/>
    </xf>
    <xf numFmtId="0" fontId="16" fillId="0" borderId="14" xfId="0" applyFont="1" applyFill="1" applyBorder="1" applyAlignment="1">
      <alignment vertical="center" wrapText="1"/>
    </xf>
    <xf numFmtId="1" fontId="16" fillId="0" borderId="0" xfId="0" applyNumberFormat="1" applyFont="1" applyFill="1" applyAlignment="1">
      <alignment horizontal="center" vertical="center"/>
    </xf>
    <xf numFmtId="0" fontId="16" fillId="0" borderId="0" xfId="0" applyFont="1" applyFill="1" applyAlignment="1">
      <alignment horizontal="left" vertical="top" wrapText="1"/>
    </xf>
    <xf numFmtId="0" fontId="11" fillId="0" borderId="1" xfId="0" applyFont="1" applyFill="1" applyBorder="1" applyAlignment="1">
      <alignment horizontal="center" vertical="center" wrapText="1"/>
    </xf>
    <xf numFmtId="0" fontId="15" fillId="0" borderId="0" xfId="0" applyFont="1" applyFill="1" applyAlignment="1">
      <alignment horizontal="center" vertical="center" wrapText="1"/>
    </xf>
    <xf numFmtId="166" fontId="16" fillId="0" borderId="0" xfId="0" applyNumberFormat="1" applyFont="1" applyFill="1" applyAlignment="1">
      <alignment horizontal="center" vertical="center" wrapText="1"/>
    </xf>
    <xf numFmtId="0" fontId="15" fillId="0" borderId="0" xfId="0" applyFont="1" applyFill="1"/>
    <xf numFmtId="0" fontId="15" fillId="0" borderId="0" xfId="0" applyFont="1" applyFill="1" applyAlignment="1">
      <alignment horizontal="left" vertical="center" wrapText="1"/>
    </xf>
    <xf numFmtId="0" fontId="10" fillId="0" borderId="0" xfId="0" applyFont="1" applyFill="1" applyAlignment="1">
      <alignment horizontal="center" vertical="center" wrapText="1"/>
    </xf>
    <xf numFmtId="0" fontId="15" fillId="0" borderId="0" xfId="0" applyFont="1" applyFill="1" applyAlignment="1">
      <alignment horizontal="center" vertical="center"/>
    </xf>
    <xf numFmtId="0" fontId="19" fillId="0" borderId="0" xfId="0" applyFont="1" applyFill="1" applyAlignment="1">
      <alignment horizontal="left" vertical="center" wrapText="1"/>
    </xf>
    <xf numFmtId="0" fontId="16" fillId="0" borderId="0" xfId="0" applyFont="1" applyFill="1" applyAlignment="1">
      <alignment horizontal="center" vertical="center" wrapText="1"/>
    </xf>
    <xf numFmtId="165" fontId="16" fillId="0" borderId="0" xfId="22" applyNumberFormat="1" applyFont="1" applyFill="1" applyAlignment="1">
      <alignment horizontal="center" vertical="center" wrapText="1"/>
    </xf>
    <xf numFmtId="167" fontId="16" fillId="0" borderId="0" xfId="0" applyNumberFormat="1" applyFont="1" applyFill="1" applyAlignment="1">
      <alignment horizontal="center" vertical="center" wrapText="1"/>
    </xf>
    <xf numFmtId="167" fontId="16" fillId="0" borderId="0" xfId="0" applyNumberFormat="1" applyFont="1" applyFill="1"/>
    <xf numFmtId="166" fontId="16" fillId="0" borderId="0" xfId="22" applyNumberFormat="1" applyFont="1" applyFill="1" applyAlignment="1">
      <alignment horizontal="center" vertical="center" wrapText="1"/>
    </xf>
    <xf numFmtId="2" fontId="16" fillId="0" borderId="0" xfId="22" applyNumberFormat="1" applyFont="1" applyFill="1" applyAlignment="1">
      <alignment horizontal="center" vertical="center" wrapText="1"/>
    </xf>
    <xf numFmtId="10" fontId="10" fillId="0" borderId="0" xfId="0" applyNumberFormat="1" applyFont="1" applyFill="1"/>
    <xf numFmtId="2" fontId="16" fillId="0" borderId="0" xfId="0" applyNumberFormat="1" applyFont="1" applyFill="1" applyAlignment="1">
      <alignment horizontal="center" vertical="center" wrapText="1"/>
    </xf>
    <xf numFmtId="0" fontId="16" fillId="0" borderId="0" xfId="0" applyFont="1" applyFill="1" applyAlignment="1">
      <alignment horizontal="center" vertical="center"/>
    </xf>
    <xf numFmtId="1" fontId="16" fillId="0" borderId="0" xfId="0" applyNumberFormat="1" applyFont="1" applyFill="1" applyAlignment="1">
      <alignment horizontal="center" vertical="center" wrapText="1"/>
    </xf>
    <xf numFmtId="0" fontId="11" fillId="0" borderId="0" xfId="0" applyFont="1" applyFill="1" applyAlignment="1">
      <alignment horizontal="left" vertical="center" wrapText="1"/>
    </xf>
    <xf numFmtId="0" fontId="10" fillId="0" borderId="1" xfId="0" applyFont="1" applyFill="1" applyBorder="1" applyAlignment="1">
      <alignment horizontal="center" vertical="center"/>
    </xf>
    <xf numFmtId="0" fontId="16" fillId="0" borderId="0" xfId="0" applyFont="1" applyFill="1" applyAlignment="1">
      <alignment vertical="center" wrapText="1"/>
    </xf>
    <xf numFmtId="0" fontId="15" fillId="0" borderId="0" xfId="0" applyFont="1" applyFill="1" applyAlignment="1">
      <alignment vertical="center" wrapText="1"/>
    </xf>
    <xf numFmtId="0" fontId="10" fillId="0" borderId="0" xfId="0" applyFont="1" applyFill="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166" fontId="16" fillId="0" borderId="1" xfId="0" applyNumberFormat="1" applyFont="1" applyFill="1" applyBorder="1" applyAlignment="1">
      <alignment horizontal="center" vertical="center"/>
    </xf>
    <xf numFmtId="0" fontId="10" fillId="0" borderId="1" xfId="0" applyFont="1" applyFill="1" applyBorder="1"/>
    <xf numFmtId="0" fontId="16" fillId="0" borderId="1" xfId="0" applyFont="1" applyFill="1" applyBorder="1" applyAlignment="1">
      <alignment wrapText="1"/>
    </xf>
    <xf numFmtId="0" fontId="16" fillId="0" borderId="13" xfId="0" applyFont="1" applyFill="1" applyBorder="1" applyAlignment="1">
      <alignment horizontal="center" vertical="center"/>
    </xf>
    <xf numFmtId="0" fontId="16" fillId="0" borderId="1" xfId="0" applyFont="1" applyFill="1" applyBorder="1"/>
    <xf numFmtId="0" fontId="11" fillId="0" borderId="0" xfId="0" applyFont="1" applyFill="1" applyAlignment="1">
      <alignment horizontal="center" vertical="center" wrapText="1"/>
    </xf>
    <xf numFmtId="166" fontId="10" fillId="0" borderId="0" xfId="0" applyNumberFormat="1" applyFont="1" applyFill="1" applyAlignment="1">
      <alignment horizontal="center" vertical="center"/>
    </xf>
    <xf numFmtId="0" fontId="21" fillId="0" borderId="10" xfId="0" applyFont="1" applyFill="1" applyBorder="1" applyAlignment="1">
      <alignment vertical="center" wrapText="1"/>
    </xf>
    <xf numFmtId="0" fontId="12" fillId="0" borderId="0" xfId="0" applyFont="1" applyFill="1" applyAlignment="1">
      <alignment vertical="center" wrapText="1"/>
    </xf>
    <xf numFmtId="0" fontId="12"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top"/>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167" fontId="18" fillId="0"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0" fontId="17" fillId="0" borderId="1" xfId="0" applyFont="1" applyFill="1" applyBorder="1" applyAlignment="1">
      <alignment vertical="top"/>
    </xf>
    <xf numFmtId="2" fontId="23"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left" vertical="top"/>
    </xf>
    <xf numFmtId="0" fontId="17" fillId="0" borderId="1" xfId="0" applyFont="1" applyFill="1" applyBorder="1" applyAlignment="1">
      <alignment horizontal="left" vertical="top"/>
    </xf>
    <xf numFmtId="0" fontId="24"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4" fillId="0" borderId="1" xfId="0" applyFont="1" applyFill="1" applyBorder="1" applyAlignment="1">
      <alignment horizontal="left" vertical="center"/>
    </xf>
    <xf numFmtId="0" fontId="24" fillId="0" borderId="1" xfId="0" quotePrefix="1" applyFont="1" applyFill="1" applyBorder="1" applyAlignment="1">
      <alignment horizontal="left" vertical="center" wrapText="1"/>
    </xf>
    <xf numFmtId="0" fontId="19" fillId="0" borderId="1" xfId="0" applyFont="1" applyFill="1" applyBorder="1" applyAlignment="1">
      <alignment horizontal="center" vertical="center" wrapText="1"/>
    </xf>
    <xf numFmtId="0" fontId="22" fillId="0" borderId="1" xfId="0" applyFont="1" applyBorder="1" applyAlignment="1">
      <alignment horizontal="justify" vertical="center" wrapText="1"/>
    </xf>
    <xf numFmtId="0" fontId="22" fillId="0" borderId="1" xfId="13" applyFont="1" applyBorder="1" applyAlignment="1">
      <alignment vertical="center" wrapText="1"/>
    </xf>
    <xf numFmtId="0" fontId="19"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6" fillId="0" borderId="0" xfId="0" applyFont="1" applyFill="1" applyAlignment="1">
      <alignment horizontal="center" vertical="center" wrapText="1"/>
    </xf>
    <xf numFmtId="0" fontId="19" fillId="0" borderId="0" xfId="0" applyFont="1" applyFill="1" applyAlignment="1">
      <alignment horizontal="center" vertical="center" wrapText="1"/>
    </xf>
    <xf numFmtId="0" fontId="15" fillId="0" borderId="0" xfId="0" applyFont="1" applyFill="1" applyAlignment="1">
      <alignment horizontal="left" vertical="center" wrapText="1"/>
    </xf>
    <xf numFmtId="0" fontId="16"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6" fillId="0" borderId="8"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9" xfId="0" applyFont="1" applyFill="1" applyBorder="1" applyAlignment="1">
      <alignment horizontal="left" vertical="top" wrapText="1"/>
    </xf>
    <xf numFmtId="0" fontId="28" fillId="0" borderId="1" xfId="0" applyFont="1" applyBorder="1" applyAlignment="1">
      <alignment horizontal="justify" vertical="center" wrapText="1"/>
    </xf>
    <xf numFmtId="0" fontId="17" fillId="0" borderId="1" xfId="0" applyFont="1" applyBorder="1" applyAlignment="1">
      <alignment horizontal="left" vertical="center" wrapText="1"/>
    </xf>
    <xf numFmtId="0" fontId="17" fillId="2" borderId="0" xfId="0" applyFont="1" applyFill="1" applyBorder="1" applyAlignment="1">
      <alignment horizontal="left" vertical="center"/>
    </xf>
    <xf numFmtId="0" fontId="17" fillId="0" borderId="1" xfId="0" applyFont="1" applyBorder="1" applyAlignment="1">
      <alignment horizontal="left" vertical="center" wrapText="1"/>
    </xf>
    <xf numFmtId="0" fontId="22" fillId="0" borderId="1" xfId="13" applyFont="1" applyBorder="1" applyAlignment="1">
      <alignment horizontal="left" wrapText="1"/>
    </xf>
    <xf numFmtId="0" fontId="22" fillId="0" borderId="1" xfId="0" applyFont="1" applyBorder="1" applyAlignment="1">
      <alignment horizontal="left" vertical="center" wrapText="1"/>
    </xf>
    <xf numFmtId="0" fontId="27" fillId="0" borderId="1" xfId="0" applyFont="1" applyBorder="1" applyAlignment="1">
      <alignment horizontal="left" vertical="center" wrapText="1"/>
    </xf>
    <xf numFmtId="0" fontId="26" fillId="0" borderId="1" xfId="0" applyFont="1" applyBorder="1" applyAlignment="1">
      <alignment horizontal="left" vertical="center" wrapText="1"/>
    </xf>
    <xf numFmtId="0" fontId="22" fillId="0" borderId="1" xfId="13" applyFont="1" applyBorder="1" applyAlignment="1">
      <alignment horizontal="left" vertical="center" wrapText="1"/>
    </xf>
    <xf numFmtId="0" fontId="16" fillId="0" borderId="1" xfId="13" applyFont="1" applyBorder="1" applyAlignment="1">
      <alignment vertical="center" wrapText="1"/>
    </xf>
    <xf numFmtId="0" fontId="19" fillId="0" borderId="0" xfId="0" applyFont="1" applyFill="1"/>
    <xf numFmtId="0" fontId="15" fillId="0" borderId="1"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Fill="1" applyAlignment="1">
      <alignment horizontal="left" vertical="top"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8" fillId="0" borderId="0" xfId="0" applyFont="1" applyFill="1" applyAlignment="1">
      <alignment horizontal="right"/>
    </xf>
    <xf numFmtId="0" fontId="18" fillId="0" borderId="0" xfId="0" applyFont="1" applyFill="1"/>
    <xf numFmtId="0" fontId="29" fillId="0" borderId="0" xfId="13" applyFont="1" applyFill="1" applyAlignment="1">
      <alignment horizontal="left" vertical="center"/>
    </xf>
    <xf numFmtId="0" fontId="16" fillId="0" borderId="0" xfId="0" applyFont="1" applyFill="1" applyAlignment="1">
      <alignment horizontal="center"/>
    </xf>
    <xf numFmtId="0" fontId="26"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6" fillId="0" borderId="1"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7" xfId="0" applyFont="1" applyFill="1" applyBorder="1" applyAlignment="1">
      <alignment horizontal="left" vertical="top" wrapText="1"/>
    </xf>
  </cellXfs>
  <cellStyles count="23">
    <cellStyle name="Comma 2" xfId="1" xr:uid="{00000000-0005-0000-0000-000000000000}"/>
    <cellStyle name="Comma 3" xfId="2" xr:uid="{00000000-0005-0000-0000-000001000000}"/>
    <cellStyle name="Comma0 - Type3" xfId="3" xr:uid="{00000000-0005-0000-0000-000002000000}"/>
    <cellStyle name="Fixed2 - Type2" xfId="4" xr:uid="{00000000-0005-0000-0000-000003000000}"/>
    <cellStyle name="Hyperlink 2" xfId="5" xr:uid="{00000000-0005-0000-0000-000004000000}"/>
    <cellStyle name="Hyperlink 3" xfId="6" xr:uid="{00000000-0005-0000-0000-000005000000}"/>
    <cellStyle name="Input 2" xfId="7" xr:uid="{00000000-0005-0000-0000-000006000000}"/>
    <cellStyle name="Komma 2" xfId="8" xr:uid="{00000000-0005-0000-0000-000007000000}"/>
    <cellStyle name="Komma 3" xfId="9" xr:uid="{00000000-0005-0000-0000-000008000000}"/>
    <cellStyle name="Link 2" xfId="10" xr:uid="{00000000-0005-0000-0000-000009000000}"/>
    <cellStyle name="Neutral 2" xfId="11" xr:uid="{00000000-0005-0000-0000-00000A000000}"/>
    <cellStyle name="Normal" xfId="0" builtinId="0"/>
    <cellStyle name="Normal 10" xfId="12" xr:uid="{00000000-0005-0000-0000-00000C000000}"/>
    <cellStyle name="Normal 2" xfId="13" xr:uid="{00000000-0005-0000-0000-00000D000000}"/>
    <cellStyle name="Normal 6" xfId="14" xr:uid="{00000000-0005-0000-0000-00000E000000}"/>
    <cellStyle name="Normal 6 2" xfId="15" xr:uid="{00000000-0005-0000-0000-00000F000000}"/>
    <cellStyle name="Output 2" xfId="16" xr:uid="{00000000-0005-0000-0000-000010000000}"/>
    <cellStyle name="Percen - Type1" xfId="17" xr:uid="{00000000-0005-0000-0000-000011000000}"/>
    <cellStyle name="Percent 2" xfId="18" xr:uid="{00000000-0005-0000-0000-000012000000}"/>
    <cellStyle name="Porcentaje" xfId="22" builtinId="5"/>
    <cellStyle name="Procent 2" xfId="19" xr:uid="{00000000-0005-0000-0000-000014000000}"/>
    <cellStyle name="Procent 3" xfId="20" xr:uid="{00000000-0005-0000-0000-000015000000}"/>
    <cellStyle name="Total 2" xfId="21"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0.xml"/><Relationship Id="rId18" Type="http://schemas.openxmlformats.org/officeDocument/2006/relationships/chartsheet" Target="chartsheets/sheet15.xml"/><Relationship Id="rId26" Type="http://schemas.openxmlformats.org/officeDocument/2006/relationships/chartsheet" Target="chartsheets/sheet23.xml"/><Relationship Id="rId39" Type="http://schemas.openxmlformats.org/officeDocument/2006/relationships/sharedStrings" Target="sharedStrings.xml"/><Relationship Id="rId21" Type="http://schemas.openxmlformats.org/officeDocument/2006/relationships/chartsheet" Target="chartsheets/sheet18.xml"/><Relationship Id="rId34" Type="http://schemas.openxmlformats.org/officeDocument/2006/relationships/chartsheet" Target="chartsheets/sheet31.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chartsheet" Target="chartsheets/sheet14.xml"/><Relationship Id="rId25" Type="http://schemas.openxmlformats.org/officeDocument/2006/relationships/chartsheet" Target="chartsheets/sheet22.xml"/><Relationship Id="rId33" Type="http://schemas.openxmlformats.org/officeDocument/2006/relationships/chartsheet" Target="chartsheets/sheet30.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hartsheet" Target="chartsheets/sheet13.xml"/><Relationship Id="rId20" Type="http://schemas.openxmlformats.org/officeDocument/2006/relationships/chartsheet" Target="chartsheets/sheet17.xml"/><Relationship Id="rId29" Type="http://schemas.openxmlformats.org/officeDocument/2006/relationships/chartsheet" Target="chartsheets/sheet26.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24" Type="http://schemas.openxmlformats.org/officeDocument/2006/relationships/chartsheet" Target="chartsheets/sheet21.xml"/><Relationship Id="rId32" Type="http://schemas.openxmlformats.org/officeDocument/2006/relationships/chartsheet" Target="chartsheets/sheet29.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chartsheet" Target="chartsheets/sheet2.xml"/><Relationship Id="rId15" Type="http://schemas.openxmlformats.org/officeDocument/2006/relationships/chartsheet" Target="chartsheets/sheet12.xml"/><Relationship Id="rId23" Type="http://schemas.openxmlformats.org/officeDocument/2006/relationships/chartsheet" Target="chartsheets/sheet20.xml"/><Relationship Id="rId28" Type="http://schemas.openxmlformats.org/officeDocument/2006/relationships/chartsheet" Target="chartsheets/sheet25.xml"/><Relationship Id="rId36" Type="http://schemas.openxmlformats.org/officeDocument/2006/relationships/externalLink" Target="externalLinks/externalLink2.xml"/><Relationship Id="rId10" Type="http://schemas.openxmlformats.org/officeDocument/2006/relationships/chartsheet" Target="chartsheets/sheet7.xml"/><Relationship Id="rId19" Type="http://schemas.openxmlformats.org/officeDocument/2006/relationships/chartsheet" Target="chartsheets/sheet16.xml"/><Relationship Id="rId31" Type="http://schemas.openxmlformats.org/officeDocument/2006/relationships/chartsheet" Target="chartsheets/sheet28.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chartsheet" Target="chartsheets/sheet19.xml"/><Relationship Id="rId27" Type="http://schemas.openxmlformats.org/officeDocument/2006/relationships/chartsheet" Target="chartsheets/sheet24.xml"/><Relationship Id="rId30" Type="http://schemas.openxmlformats.org/officeDocument/2006/relationships/chartsheet" Target="chartsheets/sheet27.xml"/><Relationship Id="rId35" Type="http://schemas.openxmlformats.org/officeDocument/2006/relationships/externalLink" Target="externalLinks/externalLink1.xml"/><Relationship Id="rId8" Type="http://schemas.openxmlformats.org/officeDocument/2006/relationships/chartsheet" Target="chartsheets/sheet5.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9.7722426273514768E-2"/>
                  <c:y val="0.5904771376090234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Uncertanties!$T$2:$T$3</c:f>
              <c:numCache>
                <c:formatCode>General</c:formatCode>
                <c:ptCount val="2"/>
                <c:pt idx="0">
                  <c:v>2020</c:v>
                </c:pt>
                <c:pt idx="1">
                  <c:v>2050</c:v>
                </c:pt>
              </c:numCache>
            </c:numRef>
          </c:xVal>
          <c:yVal>
            <c:numRef>
              <c:f>Uncertanties!$U$2:$U$3</c:f>
              <c:numCache>
                <c:formatCode>0.000</c:formatCode>
                <c:ptCount val="2"/>
                <c:pt idx="0">
                  <c:v>-0.16666666666666666</c:v>
                </c:pt>
                <c:pt idx="1">
                  <c:v>-0.125</c:v>
                </c:pt>
              </c:numCache>
            </c:numRef>
          </c:yVal>
          <c:smooth val="1"/>
          <c:extLst>
            <c:ext xmlns:c16="http://schemas.microsoft.com/office/drawing/2014/chart" uri="{C3380CC4-5D6E-409C-BE32-E72D297353CC}">
              <c16:uniqueId val="{00000000-605F-415B-AFA4-BB94B9DA0575}"/>
            </c:ext>
          </c:extLst>
        </c:ser>
        <c:dLbls>
          <c:showLegendKey val="0"/>
          <c:showVal val="0"/>
          <c:showCatName val="0"/>
          <c:showSerName val="0"/>
          <c:showPercent val="0"/>
          <c:showBubbleSize val="0"/>
        </c:dLbls>
        <c:axId val="109222912"/>
        <c:axId val="109886848"/>
      </c:scatterChart>
      <c:valAx>
        <c:axId val="109222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886848"/>
        <c:crosses val="autoZero"/>
        <c:crossBetween val="midCat"/>
      </c:valAx>
      <c:valAx>
        <c:axId val="109886848"/>
        <c:scaling>
          <c:orientation val="minMax"/>
          <c:max val="-0.1200000000000000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2229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0640336778932395"/>
                  <c:y val="0.5635145143898240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Uncertanties!$W$8:$W$9</c:f>
              <c:numCache>
                <c:formatCode>General</c:formatCode>
                <c:ptCount val="2"/>
                <c:pt idx="0">
                  <c:v>2020</c:v>
                </c:pt>
                <c:pt idx="1">
                  <c:v>2050</c:v>
                </c:pt>
              </c:numCache>
            </c:numRef>
          </c:xVal>
          <c:yVal>
            <c:numRef>
              <c:f>Uncertanties!$Y$8:$Y$9</c:f>
              <c:numCache>
                <c:formatCode>0.000</c:formatCode>
                <c:ptCount val="2"/>
                <c:pt idx="0">
                  <c:v>0.25</c:v>
                </c:pt>
                <c:pt idx="1">
                  <c:v>0.5</c:v>
                </c:pt>
              </c:numCache>
            </c:numRef>
          </c:yVal>
          <c:smooth val="1"/>
          <c:extLst>
            <c:ext xmlns:c16="http://schemas.microsoft.com/office/drawing/2014/chart" uri="{C3380CC4-5D6E-409C-BE32-E72D297353CC}">
              <c16:uniqueId val="{00000000-5B27-4C48-AE9A-46F691AE18BE}"/>
            </c:ext>
          </c:extLst>
        </c:ser>
        <c:dLbls>
          <c:showLegendKey val="0"/>
          <c:showVal val="0"/>
          <c:showCatName val="0"/>
          <c:showSerName val="0"/>
          <c:showPercent val="0"/>
          <c:showBubbleSize val="0"/>
        </c:dLbls>
        <c:axId val="141216384"/>
        <c:axId val="141222272"/>
      </c:scatterChart>
      <c:valAx>
        <c:axId val="141216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222272"/>
        <c:crosses val="autoZero"/>
        <c:crossBetween val="midCat"/>
      </c:valAx>
      <c:valAx>
        <c:axId val="141222272"/>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2163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1.1491057302910005E-3"/>
                  <c:y val="5.5818171376610617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Uncertanties!$Z$8:$Z$9</c:f>
              <c:numCache>
                <c:formatCode>General</c:formatCode>
                <c:ptCount val="2"/>
                <c:pt idx="0">
                  <c:v>2020</c:v>
                </c:pt>
                <c:pt idx="1">
                  <c:v>2050</c:v>
                </c:pt>
              </c:numCache>
            </c:numRef>
          </c:xVal>
          <c:yVal>
            <c:numRef>
              <c:f>Uncertanties!$AA$8:$AA$9</c:f>
              <c:numCache>
                <c:formatCode>0.000</c:formatCode>
                <c:ptCount val="2"/>
                <c:pt idx="0">
                  <c:v>0</c:v>
                </c:pt>
                <c:pt idx="1">
                  <c:v>-0.5</c:v>
                </c:pt>
              </c:numCache>
            </c:numRef>
          </c:yVal>
          <c:smooth val="1"/>
          <c:extLst>
            <c:ext xmlns:c16="http://schemas.microsoft.com/office/drawing/2014/chart" uri="{C3380CC4-5D6E-409C-BE32-E72D297353CC}">
              <c16:uniqueId val="{00000000-1D03-49C6-8BDB-5313D2488C0C}"/>
            </c:ext>
          </c:extLst>
        </c:ser>
        <c:dLbls>
          <c:showLegendKey val="0"/>
          <c:showVal val="0"/>
          <c:showCatName val="0"/>
          <c:showSerName val="0"/>
          <c:showPercent val="0"/>
          <c:showBubbleSize val="0"/>
        </c:dLbls>
        <c:axId val="141576064"/>
        <c:axId val="141577600"/>
      </c:scatterChart>
      <c:valAx>
        <c:axId val="141576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577600"/>
        <c:crosses val="autoZero"/>
        <c:crossBetween val="midCat"/>
      </c:valAx>
      <c:valAx>
        <c:axId val="14157760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5760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9.7751088085327315E-2"/>
                  <c:y val="0.5024107688082504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Uncertanties!$T$11:$T$12</c:f>
              <c:numCache>
                <c:formatCode>General</c:formatCode>
                <c:ptCount val="2"/>
                <c:pt idx="0">
                  <c:v>2020</c:v>
                </c:pt>
                <c:pt idx="1">
                  <c:v>2050</c:v>
                </c:pt>
              </c:numCache>
            </c:numRef>
          </c:xVal>
          <c:yVal>
            <c:numRef>
              <c:f>Uncertanties!$U$11:$U$12</c:f>
              <c:numCache>
                <c:formatCode>0.000</c:formatCode>
                <c:ptCount val="2"/>
                <c:pt idx="0">
                  <c:v>-0.46969696969696967</c:v>
                </c:pt>
                <c:pt idx="1">
                  <c:v>-0.25714285714285723</c:v>
                </c:pt>
              </c:numCache>
            </c:numRef>
          </c:yVal>
          <c:smooth val="1"/>
          <c:extLst>
            <c:ext xmlns:c16="http://schemas.microsoft.com/office/drawing/2014/chart" uri="{C3380CC4-5D6E-409C-BE32-E72D297353CC}">
              <c16:uniqueId val="{00000000-F6FD-4913-86CC-29A314213D23}"/>
            </c:ext>
          </c:extLst>
        </c:ser>
        <c:dLbls>
          <c:showLegendKey val="0"/>
          <c:showVal val="0"/>
          <c:showCatName val="0"/>
          <c:showSerName val="0"/>
          <c:showPercent val="0"/>
          <c:showBubbleSize val="0"/>
        </c:dLbls>
        <c:axId val="141984896"/>
        <c:axId val="141986432"/>
      </c:scatterChart>
      <c:valAx>
        <c:axId val="141984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986432"/>
        <c:crosses val="autoZero"/>
        <c:crossBetween val="midCat"/>
      </c:valAx>
      <c:valAx>
        <c:axId val="14198643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9848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0291213094199941"/>
                  <c:y val="0.5403144950385109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Uncertanties!$T$11:$T$12</c:f>
              <c:numCache>
                <c:formatCode>General</c:formatCode>
                <c:ptCount val="2"/>
                <c:pt idx="0">
                  <c:v>2020</c:v>
                </c:pt>
                <c:pt idx="1">
                  <c:v>2050</c:v>
                </c:pt>
              </c:numCache>
            </c:numRef>
          </c:xVal>
          <c:yVal>
            <c:numRef>
              <c:f>Uncertanties!$V$11:$V$12</c:f>
              <c:numCache>
                <c:formatCode>0.000</c:formatCode>
                <c:ptCount val="2"/>
                <c:pt idx="0">
                  <c:v>0.43181818181818177</c:v>
                </c:pt>
                <c:pt idx="1">
                  <c:v>2.2857142857142856</c:v>
                </c:pt>
              </c:numCache>
            </c:numRef>
          </c:yVal>
          <c:smooth val="1"/>
          <c:extLst>
            <c:ext xmlns:c16="http://schemas.microsoft.com/office/drawing/2014/chart" uri="{C3380CC4-5D6E-409C-BE32-E72D297353CC}">
              <c16:uniqueId val="{00000000-9277-4B06-B7B2-06AB4D3622D8}"/>
            </c:ext>
          </c:extLst>
        </c:ser>
        <c:dLbls>
          <c:showLegendKey val="0"/>
          <c:showVal val="0"/>
          <c:showCatName val="0"/>
          <c:showSerName val="0"/>
          <c:showPercent val="0"/>
          <c:showBubbleSize val="0"/>
        </c:dLbls>
        <c:axId val="142999936"/>
        <c:axId val="143001472"/>
      </c:scatterChart>
      <c:valAx>
        <c:axId val="142999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001472"/>
        <c:crosses val="autoZero"/>
        <c:crossBetween val="midCat"/>
      </c:valAx>
      <c:valAx>
        <c:axId val="14300147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29999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2797919432450655"/>
                  <c:y val="-4.2491270928749485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Uncertanties!$W$11:$W$12</c:f>
              <c:numCache>
                <c:formatCode>General</c:formatCode>
                <c:ptCount val="2"/>
                <c:pt idx="0">
                  <c:v>2020</c:v>
                </c:pt>
                <c:pt idx="1">
                  <c:v>2050</c:v>
                </c:pt>
              </c:numCache>
            </c:numRef>
          </c:xVal>
          <c:yVal>
            <c:numRef>
              <c:f>Uncertanties!$X$11:$X$12</c:f>
              <c:numCache>
                <c:formatCode>0.000</c:formatCode>
                <c:ptCount val="2"/>
                <c:pt idx="0">
                  <c:v>-0.1111111111111112</c:v>
                </c:pt>
                <c:pt idx="1">
                  <c:v>-0.33333333333333331</c:v>
                </c:pt>
              </c:numCache>
            </c:numRef>
          </c:yVal>
          <c:smooth val="1"/>
          <c:extLst>
            <c:ext xmlns:c16="http://schemas.microsoft.com/office/drawing/2014/chart" uri="{C3380CC4-5D6E-409C-BE32-E72D297353CC}">
              <c16:uniqueId val="{00000000-6AA1-4D6E-AC97-219AE6C93FAB}"/>
            </c:ext>
          </c:extLst>
        </c:ser>
        <c:dLbls>
          <c:showLegendKey val="0"/>
          <c:showVal val="0"/>
          <c:showCatName val="0"/>
          <c:showSerName val="0"/>
          <c:showPercent val="0"/>
          <c:showBubbleSize val="0"/>
        </c:dLbls>
        <c:axId val="143043968"/>
        <c:axId val="143049856"/>
      </c:scatterChart>
      <c:valAx>
        <c:axId val="143043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049856"/>
        <c:crosses val="autoZero"/>
        <c:crossBetween val="midCat"/>
      </c:valAx>
      <c:valAx>
        <c:axId val="143049856"/>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0439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5.8671614017307354E-2"/>
                  <c:y val="0.56200343354165061"/>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Uncertanties!$W$11:$W$12</c:f>
              <c:numCache>
                <c:formatCode>General</c:formatCode>
                <c:ptCount val="2"/>
                <c:pt idx="0">
                  <c:v>2020</c:v>
                </c:pt>
                <c:pt idx="1">
                  <c:v>2050</c:v>
                </c:pt>
              </c:numCache>
            </c:numRef>
          </c:xVal>
          <c:yVal>
            <c:numRef>
              <c:f>Uncertanties!$Y$11:$Y$12</c:f>
              <c:numCache>
                <c:formatCode>0.000</c:formatCode>
                <c:ptCount val="2"/>
                <c:pt idx="0">
                  <c:v>0.88888888888888884</c:v>
                </c:pt>
                <c:pt idx="1">
                  <c:v>3.166666666666667</c:v>
                </c:pt>
              </c:numCache>
            </c:numRef>
          </c:yVal>
          <c:smooth val="1"/>
          <c:extLst>
            <c:ext xmlns:c16="http://schemas.microsoft.com/office/drawing/2014/chart" uri="{C3380CC4-5D6E-409C-BE32-E72D297353CC}">
              <c16:uniqueId val="{00000000-917E-4197-B6F0-5B721E2903AC}"/>
            </c:ext>
          </c:extLst>
        </c:ser>
        <c:dLbls>
          <c:showLegendKey val="0"/>
          <c:showVal val="0"/>
          <c:showCatName val="0"/>
          <c:showSerName val="0"/>
          <c:showPercent val="0"/>
          <c:showBubbleSize val="0"/>
        </c:dLbls>
        <c:axId val="143256192"/>
        <c:axId val="143409536"/>
      </c:scatterChart>
      <c:valAx>
        <c:axId val="1432561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409536"/>
        <c:crosses val="autoZero"/>
        <c:crossBetween val="midCat"/>
      </c:valAx>
      <c:valAx>
        <c:axId val="143409536"/>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2561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2797919432450655"/>
                  <c:y val="-5.4941767521947529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Uncertanties!$Z$11:$Z$12</c:f>
              <c:numCache>
                <c:formatCode>General</c:formatCode>
                <c:ptCount val="2"/>
                <c:pt idx="0">
                  <c:v>2020</c:v>
                </c:pt>
                <c:pt idx="1">
                  <c:v>2050</c:v>
                </c:pt>
              </c:numCache>
            </c:numRef>
          </c:xVal>
          <c:yVal>
            <c:numRef>
              <c:f>Uncertanties!$AA$11:$AA$12</c:f>
              <c:numCache>
                <c:formatCode>0.000</c:formatCode>
                <c:ptCount val="2"/>
                <c:pt idx="0">
                  <c:v>-0.10000000000000009</c:v>
                </c:pt>
                <c:pt idx="1">
                  <c:v>-0.5</c:v>
                </c:pt>
              </c:numCache>
            </c:numRef>
          </c:yVal>
          <c:smooth val="1"/>
          <c:extLst>
            <c:ext xmlns:c16="http://schemas.microsoft.com/office/drawing/2014/chart" uri="{C3380CC4-5D6E-409C-BE32-E72D297353CC}">
              <c16:uniqueId val="{00000000-3AB2-427B-99A2-C3BC4E3AE9C9}"/>
            </c:ext>
          </c:extLst>
        </c:ser>
        <c:dLbls>
          <c:showLegendKey val="0"/>
          <c:showVal val="0"/>
          <c:showCatName val="0"/>
          <c:showSerName val="0"/>
          <c:showPercent val="0"/>
          <c:showBubbleSize val="0"/>
        </c:dLbls>
        <c:axId val="143464320"/>
        <c:axId val="143465856"/>
      </c:scatterChart>
      <c:valAx>
        <c:axId val="143464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465856"/>
        <c:crosses val="autoZero"/>
        <c:crossBetween val="midCat"/>
      </c:valAx>
      <c:valAx>
        <c:axId val="14346585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464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1.4957381288873326E-3"/>
                  <c:y val="0.63136703039785214"/>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Uncertanties!$Z$11:$Z$12</c:f>
              <c:numCache>
                <c:formatCode>General</c:formatCode>
                <c:ptCount val="2"/>
                <c:pt idx="0">
                  <c:v>2020</c:v>
                </c:pt>
                <c:pt idx="1">
                  <c:v>2050</c:v>
                </c:pt>
              </c:numCache>
            </c:numRef>
          </c:xVal>
          <c:yVal>
            <c:numRef>
              <c:f>Uncertanties!$AB$11:$AB$12</c:f>
              <c:numCache>
                <c:formatCode>0.000</c:formatCode>
                <c:ptCount val="2"/>
                <c:pt idx="0">
                  <c:v>9.999999999999995E-2</c:v>
                </c:pt>
                <c:pt idx="1">
                  <c:v>1.7500000000000002</c:v>
                </c:pt>
              </c:numCache>
            </c:numRef>
          </c:yVal>
          <c:smooth val="1"/>
          <c:extLst>
            <c:ext xmlns:c16="http://schemas.microsoft.com/office/drawing/2014/chart" uri="{C3380CC4-5D6E-409C-BE32-E72D297353CC}">
              <c16:uniqueId val="{00000000-8C44-4F3E-8C20-84D2F28AE4EE}"/>
            </c:ext>
          </c:extLst>
        </c:ser>
        <c:dLbls>
          <c:showLegendKey val="0"/>
          <c:showVal val="0"/>
          <c:showCatName val="0"/>
          <c:showSerName val="0"/>
          <c:showPercent val="0"/>
          <c:showBubbleSize val="0"/>
        </c:dLbls>
        <c:axId val="143881344"/>
        <c:axId val="143882880"/>
      </c:scatterChart>
      <c:valAx>
        <c:axId val="143881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882880"/>
        <c:crosses val="autoZero"/>
        <c:crossBetween val="midCat"/>
      </c:valAx>
      <c:valAx>
        <c:axId val="14388288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38813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3708034580340165"/>
                  <c:y val="-0.13270705946102315"/>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Uncertanties!$T$14:$T$15</c:f>
              <c:numCache>
                <c:formatCode>General</c:formatCode>
                <c:ptCount val="2"/>
                <c:pt idx="0">
                  <c:v>2020</c:v>
                </c:pt>
                <c:pt idx="1">
                  <c:v>2050</c:v>
                </c:pt>
              </c:numCache>
            </c:numRef>
          </c:xVal>
          <c:yVal>
            <c:numRef>
              <c:f>Uncertanties!$U$14:$U$15</c:f>
              <c:numCache>
                <c:formatCode>0.000</c:formatCode>
                <c:ptCount val="2"/>
                <c:pt idx="0">
                  <c:v>-0.16666666666666671</c:v>
                </c:pt>
                <c:pt idx="1">
                  <c:v>-0.25925925925925924</c:v>
                </c:pt>
              </c:numCache>
            </c:numRef>
          </c:yVal>
          <c:smooth val="1"/>
          <c:extLst>
            <c:ext xmlns:c16="http://schemas.microsoft.com/office/drawing/2014/chart" uri="{C3380CC4-5D6E-409C-BE32-E72D297353CC}">
              <c16:uniqueId val="{00000000-4EAE-414C-9330-9662901D9C60}"/>
            </c:ext>
          </c:extLst>
        </c:ser>
        <c:dLbls>
          <c:showLegendKey val="0"/>
          <c:showVal val="0"/>
          <c:showCatName val="0"/>
          <c:showSerName val="0"/>
          <c:showPercent val="0"/>
          <c:showBubbleSize val="0"/>
        </c:dLbls>
        <c:axId val="144023936"/>
        <c:axId val="144025472"/>
      </c:scatterChart>
      <c:valAx>
        <c:axId val="144023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4025472"/>
        <c:crosses val="autoZero"/>
        <c:crossBetween val="midCat"/>
      </c:valAx>
      <c:valAx>
        <c:axId val="144025472"/>
        <c:scaling>
          <c:orientation val="minMax"/>
          <c:max val="-0.150000000000000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40239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2525166553753417"/>
                  <c:y val="-7.6644363839570379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Uncertanties!$W$14:$W$15</c:f>
              <c:numCache>
                <c:formatCode>General</c:formatCode>
                <c:ptCount val="2"/>
                <c:pt idx="0">
                  <c:v>2020</c:v>
                </c:pt>
                <c:pt idx="1">
                  <c:v>2050</c:v>
                </c:pt>
              </c:numCache>
            </c:numRef>
          </c:xVal>
          <c:yVal>
            <c:numRef>
              <c:f>Uncertanties!$X$14:$X$15</c:f>
              <c:numCache>
                <c:formatCode>0.000</c:formatCode>
                <c:ptCount val="2"/>
                <c:pt idx="0">
                  <c:v>-0.8</c:v>
                </c:pt>
                <c:pt idx="1">
                  <c:v>-0.8125</c:v>
                </c:pt>
              </c:numCache>
            </c:numRef>
          </c:yVal>
          <c:smooth val="1"/>
          <c:extLst>
            <c:ext xmlns:c16="http://schemas.microsoft.com/office/drawing/2014/chart" uri="{C3380CC4-5D6E-409C-BE32-E72D297353CC}">
              <c16:uniqueId val="{00000000-2DC4-4C6C-9025-D5E573095795}"/>
            </c:ext>
          </c:extLst>
        </c:ser>
        <c:dLbls>
          <c:showLegendKey val="0"/>
          <c:showVal val="0"/>
          <c:showCatName val="0"/>
          <c:showSerName val="0"/>
          <c:showPercent val="0"/>
          <c:showBubbleSize val="0"/>
        </c:dLbls>
        <c:axId val="109632896"/>
        <c:axId val="109634688"/>
      </c:scatterChart>
      <c:valAx>
        <c:axId val="109632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634688"/>
        <c:crosses val="autoZero"/>
        <c:crossBetween val="midCat"/>
      </c:valAx>
      <c:valAx>
        <c:axId val="10963468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6328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8.9568501724410374E-2"/>
                  <c:y val="0.61942467032421844"/>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Uncertanties!$W$2:$W$3</c:f>
              <c:numCache>
                <c:formatCode>General</c:formatCode>
                <c:ptCount val="2"/>
                <c:pt idx="0">
                  <c:v>2020</c:v>
                </c:pt>
                <c:pt idx="1">
                  <c:v>2050</c:v>
                </c:pt>
              </c:numCache>
            </c:numRef>
          </c:xVal>
          <c:yVal>
            <c:numRef>
              <c:f>Uncertanties!$X$2:$X$3</c:f>
              <c:numCache>
                <c:formatCode>0.000</c:formatCode>
                <c:ptCount val="2"/>
                <c:pt idx="0">
                  <c:v>-0.1111111111111111</c:v>
                </c:pt>
                <c:pt idx="1">
                  <c:v>-8.3333333333333329E-2</c:v>
                </c:pt>
              </c:numCache>
            </c:numRef>
          </c:yVal>
          <c:smooth val="1"/>
          <c:extLst>
            <c:ext xmlns:c16="http://schemas.microsoft.com/office/drawing/2014/chart" uri="{C3380CC4-5D6E-409C-BE32-E72D297353CC}">
              <c16:uniqueId val="{00000000-9D3B-462E-AD4E-4C7698782FD3}"/>
            </c:ext>
          </c:extLst>
        </c:ser>
        <c:dLbls>
          <c:showLegendKey val="0"/>
          <c:showVal val="0"/>
          <c:showCatName val="0"/>
          <c:showSerName val="0"/>
          <c:showPercent val="0"/>
          <c:showBubbleSize val="0"/>
        </c:dLbls>
        <c:axId val="128946944"/>
        <c:axId val="133660672"/>
      </c:scatterChart>
      <c:valAx>
        <c:axId val="128946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660672"/>
        <c:crosses val="autoZero"/>
        <c:crossBetween val="midCat"/>
      </c:valAx>
      <c:valAx>
        <c:axId val="133660672"/>
        <c:scaling>
          <c:orientation val="minMax"/>
          <c:max val="-8.0000000000000016E-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89469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5887608203160949"/>
                  <c:y val="-6.9701915730626438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Uncertanties!$W$14:$W$15</c:f>
              <c:numCache>
                <c:formatCode>General</c:formatCode>
                <c:ptCount val="2"/>
                <c:pt idx="0">
                  <c:v>2020</c:v>
                </c:pt>
                <c:pt idx="1">
                  <c:v>2050</c:v>
                </c:pt>
              </c:numCache>
            </c:numRef>
          </c:xVal>
          <c:yVal>
            <c:numRef>
              <c:f>Uncertanties!$Y$14:$Y$15</c:f>
              <c:numCache>
                <c:formatCode>0.000</c:formatCode>
                <c:ptCount val="2"/>
                <c:pt idx="0">
                  <c:v>1.7999999999999998</c:v>
                </c:pt>
                <c:pt idx="1">
                  <c:v>0.56249999999999989</c:v>
                </c:pt>
              </c:numCache>
            </c:numRef>
          </c:yVal>
          <c:smooth val="1"/>
          <c:extLst>
            <c:ext xmlns:c16="http://schemas.microsoft.com/office/drawing/2014/chart" uri="{C3380CC4-5D6E-409C-BE32-E72D297353CC}">
              <c16:uniqueId val="{00000000-05C6-4BC6-8E85-368C0C635456}"/>
            </c:ext>
          </c:extLst>
        </c:ser>
        <c:dLbls>
          <c:showLegendKey val="0"/>
          <c:showVal val="0"/>
          <c:showCatName val="0"/>
          <c:showSerName val="0"/>
          <c:showPercent val="0"/>
          <c:showBubbleSize val="0"/>
        </c:dLbls>
        <c:axId val="108305024"/>
        <c:axId val="108306816"/>
      </c:scatterChart>
      <c:valAx>
        <c:axId val="108305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306816"/>
        <c:crosses val="autoZero"/>
        <c:crossBetween val="midCat"/>
      </c:valAx>
      <c:valAx>
        <c:axId val="108306816"/>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3050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3207048750496511"/>
                  <c:y val="-1.8051187843162873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Uncertanties!$Z$14:$Z$15</c:f>
              <c:numCache>
                <c:formatCode>General</c:formatCode>
                <c:ptCount val="2"/>
                <c:pt idx="0">
                  <c:v>2020</c:v>
                </c:pt>
                <c:pt idx="1">
                  <c:v>2050</c:v>
                </c:pt>
              </c:numCache>
            </c:numRef>
          </c:xVal>
          <c:yVal>
            <c:numRef>
              <c:f>Uncertanties!$AA$14:$AA$15</c:f>
              <c:numCache>
                <c:formatCode>0.000</c:formatCode>
                <c:ptCount val="2"/>
                <c:pt idx="0">
                  <c:v>-0.31034482758620691</c:v>
                </c:pt>
                <c:pt idx="1">
                  <c:v>-0.38666666666666666</c:v>
                </c:pt>
              </c:numCache>
            </c:numRef>
          </c:yVal>
          <c:smooth val="1"/>
          <c:extLst>
            <c:ext xmlns:c16="http://schemas.microsoft.com/office/drawing/2014/chart" uri="{C3380CC4-5D6E-409C-BE32-E72D297353CC}">
              <c16:uniqueId val="{00000000-6591-49FD-B7BF-25A7D81F9F06}"/>
            </c:ext>
          </c:extLst>
        </c:ser>
        <c:dLbls>
          <c:showLegendKey val="0"/>
          <c:showVal val="0"/>
          <c:showCatName val="0"/>
          <c:showSerName val="0"/>
          <c:showPercent val="0"/>
          <c:showBubbleSize val="0"/>
        </c:dLbls>
        <c:axId val="109103360"/>
        <c:axId val="109109248"/>
      </c:scatterChart>
      <c:valAx>
        <c:axId val="1091033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109248"/>
        <c:crosses val="autoZero"/>
        <c:crossBetween val="midCat"/>
      </c:valAx>
      <c:valAx>
        <c:axId val="109109248"/>
        <c:scaling>
          <c:orientation val="minMax"/>
          <c:max val="-0.3000000000000000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1033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3.6087675661176065E-2"/>
                  <c:y val="0.57088627861908636"/>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Uncertanties!$Z$14:$Z$15</c:f>
              <c:numCache>
                <c:formatCode>General</c:formatCode>
                <c:ptCount val="2"/>
                <c:pt idx="0">
                  <c:v>2020</c:v>
                </c:pt>
                <c:pt idx="1">
                  <c:v>2050</c:v>
                </c:pt>
              </c:numCache>
            </c:numRef>
          </c:xVal>
          <c:yVal>
            <c:numRef>
              <c:f>Uncertanties!$AB$14:$AB$15</c:f>
              <c:numCache>
                <c:formatCode>0.000</c:formatCode>
                <c:ptCount val="2"/>
                <c:pt idx="0">
                  <c:v>0.11637931034482757</c:v>
                </c:pt>
                <c:pt idx="1">
                  <c:v>1.3466666666666667</c:v>
                </c:pt>
              </c:numCache>
            </c:numRef>
          </c:yVal>
          <c:smooth val="1"/>
          <c:extLst>
            <c:ext xmlns:c16="http://schemas.microsoft.com/office/drawing/2014/chart" uri="{C3380CC4-5D6E-409C-BE32-E72D297353CC}">
              <c16:uniqueId val="{00000000-C708-4A81-973F-26D05C2B7F5E}"/>
            </c:ext>
          </c:extLst>
        </c:ser>
        <c:dLbls>
          <c:showLegendKey val="0"/>
          <c:showVal val="0"/>
          <c:showCatName val="0"/>
          <c:showSerName val="0"/>
          <c:showPercent val="0"/>
          <c:showBubbleSize val="0"/>
        </c:dLbls>
        <c:axId val="108496384"/>
        <c:axId val="108497920"/>
      </c:scatterChart>
      <c:valAx>
        <c:axId val="108496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497920"/>
        <c:crosses val="autoZero"/>
        <c:crossBetween val="midCat"/>
      </c:valAx>
      <c:valAx>
        <c:axId val="10849792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4963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3070672311147893"/>
                  <c:y val="-4.2491270928749485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Uncertanties!$T$17:$T$18</c:f>
              <c:numCache>
                <c:formatCode>General</c:formatCode>
                <c:ptCount val="2"/>
                <c:pt idx="0">
                  <c:v>2020</c:v>
                </c:pt>
                <c:pt idx="1">
                  <c:v>2050</c:v>
                </c:pt>
              </c:numCache>
            </c:numRef>
          </c:xVal>
          <c:yVal>
            <c:numRef>
              <c:f>Uncertanties!$U$17:$U$18</c:f>
              <c:numCache>
                <c:formatCode>0.000</c:formatCode>
                <c:ptCount val="2"/>
                <c:pt idx="0">
                  <c:v>-0.1111111111111112</c:v>
                </c:pt>
                <c:pt idx="1">
                  <c:v>-0.33333333333333331</c:v>
                </c:pt>
              </c:numCache>
            </c:numRef>
          </c:yVal>
          <c:smooth val="1"/>
          <c:extLst>
            <c:ext xmlns:c16="http://schemas.microsoft.com/office/drawing/2014/chart" uri="{C3380CC4-5D6E-409C-BE32-E72D297353CC}">
              <c16:uniqueId val="{00000000-DDC2-4DED-AE91-58C457129EAE}"/>
            </c:ext>
          </c:extLst>
        </c:ser>
        <c:dLbls>
          <c:showLegendKey val="0"/>
          <c:showVal val="0"/>
          <c:showCatName val="0"/>
          <c:showSerName val="0"/>
          <c:showPercent val="0"/>
          <c:showBubbleSize val="0"/>
        </c:dLbls>
        <c:axId val="109560576"/>
        <c:axId val="109562112"/>
      </c:scatterChart>
      <c:valAx>
        <c:axId val="109560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562112"/>
        <c:crosses val="autoZero"/>
        <c:crossBetween val="midCat"/>
      </c:valAx>
      <c:valAx>
        <c:axId val="109562112"/>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5605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5.4580320836848682E-2"/>
                  <c:y val="0.55364419287006139"/>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Uncertanties!$T$17:$T$18</c:f>
              <c:numCache>
                <c:formatCode>General</c:formatCode>
                <c:ptCount val="2"/>
                <c:pt idx="0">
                  <c:v>2020</c:v>
                </c:pt>
                <c:pt idx="1">
                  <c:v>2050</c:v>
                </c:pt>
              </c:numCache>
            </c:numRef>
          </c:xVal>
          <c:yVal>
            <c:numRef>
              <c:f>Uncertanties!$V$17:$V$18</c:f>
              <c:numCache>
                <c:formatCode>0.000</c:formatCode>
                <c:ptCount val="2"/>
                <c:pt idx="0">
                  <c:v>0.88888888888888884</c:v>
                </c:pt>
                <c:pt idx="1">
                  <c:v>3.166666666666667</c:v>
                </c:pt>
              </c:numCache>
            </c:numRef>
          </c:yVal>
          <c:smooth val="1"/>
          <c:extLst>
            <c:ext xmlns:c16="http://schemas.microsoft.com/office/drawing/2014/chart" uri="{C3380CC4-5D6E-409C-BE32-E72D297353CC}">
              <c16:uniqueId val="{00000000-A349-4FD6-BDD8-A3BAA878F172}"/>
            </c:ext>
          </c:extLst>
        </c:ser>
        <c:dLbls>
          <c:showLegendKey val="0"/>
          <c:showVal val="0"/>
          <c:showCatName val="0"/>
          <c:showSerName val="0"/>
          <c:showPercent val="0"/>
          <c:showBubbleSize val="0"/>
        </c:dLbls>
        <c:axId val="109137920"/>
        <c:axId val="109139456"/>
      </c:scatterChart>
      <c:valAx>
        <c:axId val="109137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139456"/>
        <c:crosses val="autoZero"/>
        <c:crossBetween val="midCat"/>
      </c:valAx>
      <c:valAx>
        <c:axId val="109139456"/>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1379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0571376475321931"/>
                  <c:y val="-0.1340799166445481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Uncertanties!$W$17:$W$18</c:f>
              <c:numCache>
                <c:formatCode>General</c:formatCode>
                <c:ptCount val="2"/>
                <c:pt idx="0">
                  <c:v>2020</c:v>
                </c:pt>
                <c:pt idx="1">
                  <c:v>2050</c:v>
                </c:pt>
              </c:numCache>
            </c:numRef>
          </c:xVal>
          <c:yVal>
            <c:numRef>
              <c:f>Uncertanties!$X$17:$X$18</c:f>
              <c:numCache>
                <c:formatCode>0.000</c:formatCode>
                <c:ptCount val="2"/>
                <c:pt idx="0">
                  <c:v>-0.15151515151515146</c:v>
                </c:pt>
                <c:pt idx="1">
                  <c:v>-0.375</c:v>
                </c:pt>
              </c:numCache>
            </c:numRef>
          </c:yVal>
          <c:smooth val="1"/>
          <c:extLst>
            <c:ext xmlns:c16="http://schemas.microsoft.com/office/drawing/2014/chart" uri="{C3380CC4-5D6E-409C-BE32-E72D297353CC}">
              <c16:uniqueId val="{00000000-D863-4FD5-AFA9-AC0966A7401C}"/>
            </c:ext>
          </c:extLst>
        </c:ser>
        <c:dLbls>
          <c:showLegendKey val="0"/>
          <c:showVal val="0"/>
          <c:showCatName val="0"/>
          <c:showSerName val="0"/>
          <c:showPercent val="0"/>
          <c:showBubbleSize val="0"/>
        </c:dLbls>
        <c:axId val="109742720"/>
        <c:axId val="109748608"/>
      </c:scatterChart>
      <c:valAx>
        <c:axId val="109742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748608"/>
        <c:crosses val="autoZero"/>
        <c:crossBetween val="midCat"/>
      </c:valAx>
      <c:valAx>
        <c:axId val="109748608"/>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7427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3.9578912508500708E-2"/>
                  <c:y val="0.5757088035474773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Uncertanties!$W$17:$W$18</c:f>
              <c:numCache>
                <c:formatCode>General</c:formatCode>
                <c:ptCount val="2"/>
                <c:pt idx="0">
                  <c:v>2020</c:v>
                </c:pt>
                <c:pt idx="1">
                  <c:v>2050</c:v>
                </c:pt>
              </c:numCache>
            </c:numRef>
          </c:xVal>
          <c:yVal>
            <c:numRef>
              <c:f>Uncertanties!$Y$17:$Y$18</c:f>
              <c:numCache>
                <c:formatCode>0.000</c:formatCode>
                <c:ptCount val="2"/>
                <c:pt idx="0">
                  <c:v>0.75757575757575735</c:v>
                </c:pt>
                <c:pt idx="1">
                  <c:v>2.8749999999999996</c:v>
                </c:pt>
              </c:numCache>
            </c:numRef>
          </c:yVal>
          <c:smooth val="1"/>
          <c:extLst>
            <c:ext xmlns:c16="http://schemas.microsoft.com/office/drawing/2014/chart" uri="{C3380CC4-5D6E-409C-BE32-E72D297353CC}">
              <c16:uniqueId val="{00000000-9BE7-4DE0-B673-B41DD4DAD078}"/>
            </c:ext>
          </c:extLst>
        </c:ser>
        <c:dLbls>
          <c:showLegendKey val="0"/>
          <c:showVal val="0"/>
          <c:showCatName val="0"/>
          <c:showSerName val="0"/>
          <c:showPercent val="0"/>
          <c:showBubbleSize val="0"/>
        </c:dLbls>
        <c:axId val="109647744"/>
        <c:axId val="109649280"/>
      </c:scatterChart>
      <c:valAx>
        <c:axId val="1096477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649280"/>
        <c:crosses val="autoZero"/>
        <c:crossBetween val="midCat"/>
      </c:valAx>
      <c:valAx>
        <c:axId val="109649280"/>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6477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5661824658771653"/>
                  <c:y val="-5.4758621166288497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Uncertanties!$Z$17:$Z$18</c:f>
              <c:numCache>
                <c:formatCode>General</c:formatCode>
                <c:ptCount val="2"/>
                <c:pt idx="0">
                  <c:v>2020</c:v>
                </c:pt>
                <c:pt idx="1">
                  <c:v>2050</c:v>
                </c:pt>
              </c:numCache>
            </c:numRef>
          </c:xVal>
          <c:yVal>
            <c:numRef>
              <c:f>Uncertanties!$AA$17:$AA$18</c:f>
              <c:numCache>
                <c:formatCode>0.000</c:formatCode>
                <c:ptCount val="2"/>
                <c:pt idx="0">
                  <c:v>-0.2857142857142857</c:v>
                </c:pt>
                <c:pt idx="1">
                  <c:v>-0.6</c:v>
                </c:pt>
              </c:numCache>
            </c:numRef>
          </c:yVal>
          <c:smooth val="1"/>
          <c:extLst>
            <c:ext xmlns:c16="http://schemas.microsoft.com/office/drawing/2014/chart" uri="{C3380CC4-5D6E-409C-BE32-E72D297353CC}">
              <c16:uniqueId val="{00000000-6363-48FA-9BED-29A9E1E07E5F}"/>
            </c:ext>
          </c:extLst>
        </c:ser>
        <c:dLbls>
          <c:showLegendKey val="0"/>
          <c:showVal val="0"/>
          <c:showCatName val="0"/>
          <c:showSerName val="0"/>
          <c:showPercent val="0"/>
          <c:showBubbleSize val="0"/>
        </c:dLbls>
        <c:axId val="108434560"/>
        <c:axId val="108436096"/>
      </c:scatterChart>
      <c:valAx>
        <c:axId val="108434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436096"/>
        <c:crosses val="autoZero"/>
        <c:crossBetween val="midCat"/>
      </c:valAx>
      <c:valAx>
        <c:axId val="10843609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4345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5.3216556443362699E-2"/>
                  <c:y val="0.56769413472561858"/>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Uncertanties!$Z$17:$Z$18</c:f>
              <c:numCache>
                <c:formatCode>General</c:formatCode>
                <c:ptCount val="2"/>
                <c:pt idx="0">
                  <c:v>2020</c:v>
                </c:pt>
                <c:pt idx="1">
                  <c:v>2050</c:v>
                </c:pt>
              </c:numCache>
            </c:numRef>
          </c:xVal>
          <c:yVal>
            <c:numRef>
              <c:f>Uncertanties!$AB$17:$AB$18</c:f>
              <c:numCache>
                <c:formatCode>0.000</c:formatCode>
                <c:ptCount val="2"/>
                <c:pt idx="0">
                  <c:v>0.14285714285714285</c:v>
                </c:pt>
                <c:pt idx="1">
                  <c:v>0.4</c:v>
                </c:pt>
              </c:numCache>
            </c:numRef>
          </c:yVal>
          <c:smooth val="1"/>
          <c:extLst>
            <c:ext xmlns:c16="http://schemas.microsoft.com/office/drawing/2014/chart" uri="{C3380CC4-5D6E-409C-BE32-E72D297353CC}">
              <c16:uniqueId val="{00000000-DAFB-47BD-AFD7-927E1A34DB97}"/>
            </c:ext>
          </c:extLst>
        </c:ser>
        <c:dLbls>
          <c:showLegendKey val="0"/>
          <c:showVal val="0"/>
          <c:showCatName val="0"/>
          <c:showSerName val="0"/>
          <c:showPercent val="0"/>
          <c:showBubbleSize val="0"/>
        </c:dLbls>
        <c:axId val="108016384"/>
        <c:axId val="108017920"/>
      </c:scatterChart>
      <c:valAx>
        <c:axId val="108016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017920"/>
        <c:crosses val="autoZero"/>
        <c:crossBetween val="midCat"/>
      </c:valAx>
      <c:valAx>
        <c:axId val="108017920"/>
        <c:scaling>
          <c:orientation val="minMax"/>
          <c:min val="0.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0163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7253822003404254"/>
                  <c:y val="-0.1622270267744175"/>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Uncertanties!$T$20:$T$21</c:f>
              <c:numCache>
                <c:formatCode>General</c:formatCode>
                <c:ptCount val="2"/>
                <c:pt idx="0">
                  <c:v>2020</c:v>
                </c:pt>
                <c:pt idx="1">
                  <c:v>2050</c:v>
                </c:pt>
              </c:numCache>
            </c:numRef>
          </c:xVal>
          <c:yVal>
            <c:numRef>
              <c:f>Uncertanties!$U$20:$U$21</c:f>
              <c:numCache>
                <c:formatCode>0.000</c:formatCode>
                <c:ptCount val="2"/>
                <c:pt idx="0">
                  <c:v>-7.6190476190476197E-2</c:v>
                </c:pt>
                <c:pt idx="1">
                  <c:v>-0.28229665071770332</c:v>
                </c:pt>
              </c:numCache>
            </c:numRef>
          </c:yVal>
          <c:smooth val="1"/>
          <c:extLst>
            <c:ext xmlns:c16="http://schemas.microsoft.com/office/drawing/2014/chart" uri="{C3380CC4-5D6E-409C-BE32-E72D297353CC}">
              <c16:uniqueId val="{00000000-668B-44C7-8DAF-C026E89F9DBD}"/>
            </c:ext>
          </c:extLst>
        </c:ser>
        <c:dLbls>
          <c:showLegendKey val="0"/>
          <c:showVal val="0"/>
          <c:showCatName val="0"/>
          <c:showSerName val="0"/>
          <c:showPercent val="0"/>
          <c:showBubbleSize val="0"/>
        </c:dLbls>
        <c:axId val="119635328"/>
        <c:axId val="119645312"/>
      </c:scatterChart>
      <c:valAx>
        <c:axId val="119635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9645312"/>
        <c:crosses val="autoZero"/>
        <c:crossBetween val="midCat"/>
      </c:valAx>
      <c:valAx>
        <c:axId val="11964531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963532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1399142804279626E-2"/>
                  <c:y val="0.56863537206108106"/>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Uncertanties!$Z$2:$Z$3</c:f>
              <c:numCache>
                <c:formatCode>General</c:formatCode>
                <c:ptCount val="2"/>
                <c:pt idx="0">
                  <c:v>2020</c:v>
                </c:pt>
                <c:pt idx="1">
                  <c:v>2050</c:v>
                </c:pt>
              </c:numCache>
            </c:numRef>
          </c:xVal>
          <c:yVal>
            <c:numRef>
              <c:f>Uncertanties!$AB$2:$AB$3</c:f>
              <c:numCache>
                <c:formatCode>0.000</c:formatCode>
                <c:ptCount val="2"/>
                <c:pt idx="0">
                  <c:v>1.098901098901099E-2</c:v>
                </c:pt>
                <c:pt idx="1">
                  <c:v>2.1739130434782608E-2</c:v>
                </c:pt>
              </c:numCache>
            </c:numRef>
          </c:yVal>
          <c:smooth val="1"/>
          <c:extLst>
            <c:ext xmlns:c16="http://schemas.microsoft.com/office/drawing/2014/chart" uri="{C3380CC4-5D6E-409C-BE32-E72D297353CC}">
              <c16:uniqueId val="{00000000-4B68-4150-B19C-D25660F42A6E}"/>
            </c:ext>
          </c:extLst>
        </c:ser>
        <c:dLbls>
          <c:showLegendKey val="0"/>
          <c:showVal val="0"/>
          <c:showCatName val="0"/>
          <c:showSerName val="0"/>
          <c:showPercent val="0"/>
          <c:showBubbleSize val="0"/>
        </c:dLbls>
        <c:axId val="133489024"/>
        <c:axId val="133490560"/>
      </c:scatterChart>
      <c:valAx>
        <c:axId val="133489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490560"/>
        <c:crosses val="autoZero"/>
        <c:crossBetween val="midCat"/>
      </c:valAx>
      <c:valAx>
        <c:axId val="133490560"/>
        <c:scaling>
          <c:orientation val="minMax"/>
          <c:min val="5.000000000000001E-3"/>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4890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3.548761932804214E-2"/>
                  <c:y val="0.46416888825554659"/>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Uncertanties!$T$20:$T$21</c:f>
              <c:numCache>
                <c:formatCode>General</c:formatCode>
                <c:ptCount val="2"/>
                <c:pt idx="0">
                  <c:v>2020</c:v>
                </c:pt>
                <c:pt idx="1">
                  <c:v>2050</c:v>
                </c:pt>
              </c:numCache>
            </c:numRef>
          </c:xVal>
          <c:yVal>
            <c:numRef>
              <c:f>Uncertanties!$V$20:$V$21</c:f>
              <c:numCache>
                <c:formatCode>0.000</c:formatCode>
                <c:ptCount val="2"/>
                <c:pt idx="0">
                  <c:v>0.33333333333333331</c:v>
                </c:pt>
                <c:pt idx="1">
                  <c:v>0.4354066985645933</c:v>
                </c:pt>
              </c:numCache>
            </c:numRef>
          </c:yVal>
          <c:smooth val="1"/>
          <c:extLst>
            <c:ext xmlns:c16="http://schemas.microsoft.com/office/drawing/2014/chart" uri="{C3380CC4-5D6E-409C-BE32-E72D297353CC}">
              <c16:uniqueId val="{00000000-1A92-49C3-B96F-B0BD34576005}"/>
            </c:ext>
          </c:extLst>
        </c:ser>
        <c:dLbls>
          <c:showLegendKey val="0"/>
          <c:showVal val="0"/>
          <c:showCatName val="0"/>
          <c:showSerName val="0"/>
          <c:showPercent val="0"/>
          <c:showBubbleSize val="0"/>
        </c:dLbls>
        <c:axId val="131148416"/>
        <c:axId val="131154304"/>
      </c:scatterChart>
      <c:valAx>
        <c:axId val="131148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1154304"/>
        <c:crosses val="autoZero"/>
        <c:crossBetween val="midCat"/>
      </c:valAx>
      <c:valAx>
        <c:axId val="131154304"/>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11484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084412935401917"/>
                  <c:y val="-0.11208343048756587"/>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Uncertanties!$W$20:$W$21</c:f>
              <c:numCache>
                <c:formatCode>General</c:formatCode>
                <c:ptCount val="2"/>
                <c:pt idx="0">
                  <c:v>2020</c:v>
                </c:pt>
                <c:pt idx="1">
                  <c:v>2050</c:v>
                </c:pt>
              </c:numCache>
            </c:numRef>
          </c:xVal>
          <c:yVal>
            <c:numRef>
              <c:f>Uncertanties!$X$20:$X$21</c:f>
              <c:numCache>
                <c:formatCode>0.000</c:formatCode>
                <c:ptCount val="2"/>
                <c:pt idx="0">
                  <c:v>-6.9230769230769235E-2</c:v>
                </c:pt>
                <c:pt idx="1">
                  <c:v>-0.33461538461538459</c:v>
                </c:pt>
              </c:numCache>
            </c:numRef>
          </c:yVal>
          <c:smooth val="1"/>
          <c:extLst>
            <c:ext xmlns:c16="http://schemas.microsoft.com/office/drawing/2014/chart" uri="{C3380CC4-5D6E-409C-BE32-E72D297353CC}">
              <c16:uniqueId val="{00000000-6B09-4AF6-8038-396DF5579C9E}"/>
            </c:ext>
          </c:extLst>
        </c:ser>
        <c:dLbls>
          <c:showLegendKey val="0"/>
          <c:showVal val="0"/>
          <c:showCatName val="0"/>
          <c:showSerName val="0"/>
          <c:showPercent val="0"/>
          <c:showBubbleSize val="0"/>
        </c:dLbls>
        <c:axId val="131635072"/>
        <c:axId val="131636608"/>
      </c:scatterChart>
      <c:valAx>
        <c:axId val="131635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1636608"/>
        <c:crosses val="autoZero"/>
        <c:crossBetween val="midCat"/>
      </c:valAx>
      <c:valAx>
        <c:axId val="131636608"/>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16350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102502572091861"/>
                  <c:y val="-5.0616025026381795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Uncertanties!$T$5:$T$6</c:f>
              <c:numCache>
                <c:formatCode>General</c:formatCode>
                <c:ptCount val="2"/>
                <c:pt idx="0">
                  <c:v>2020</c:v>
                </c:pt>
                <c:pt idx="1">
                  <c:v>2050</c:v>
                </c:pt>
              </c:numCache>
            </c:numRef>
          </c:xVal>
          <c:yVal>
            <c:numRef>
              <c:f>Uncertanties!$U$5:$U$6</c:f>
              <c:numCache>
                <c:formatCode>0.000</c:formatCode>
                <c:ptCount val="2"/>
                <c:pt idx="0">
                  <c:v>0</c:v>
                </c:pt>
                <c:pt idx="1">
                  <c:v>-5.076142131979695E-3</c:v>
                </c:pt>
              </c:numCache>
            </c:numRef>
          </c:yVal>
          <c:smooth val="1"/>
          <c:extLst>
            <c:ext xmlns:c16="http://schemas.microsoft.com/office/drawing/2014/chart" uri="{C3380CC4-5D6E-409C-BE32-E72D297353CC}">
              <c16:uniqueId val="{00000000-C7D0-4CCA-A89B-024C52C959C3}"/>
            </c:ext>
          </c:extLst>
        </c:ser>
        <c:dLbls>
          <c:showLegendKey val="0"/>
          <c:showVal val="0"/>
          <c:showCatName val="0"/>
          <c:showSerName val="0"/>
          <c:showPercent val="0"/>
          <c:showBubbleSize val="0"/>
        </c:dLbls>
        <c:axId val="133787008"/>
        <c:axId val="133796992"/>
      </c:scatterChart>
      <c:valAx>
        <c:axId val="133787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796992"/>
        <c:crosses val="autoZero"/>
        <c:crossBetween val="midCat"/>
      </c:valAx>
      <c:valAx>
        <c:axId val="133796992"/>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378700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8.1141511602896718E-2"/>
                  <c:y val="-3.3610071371131034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Uncertanties!$W$5:$W$6</c:f>
              <c:numCache>
                <c:formatCode>General</c:formatCode>
                <c:ptCount val="2"/>
                <c:pt idx="0">
                  <c:v>2020</c:v>
                </c:pt>
                <c:pt idx="1">
                  <c:v>2050</c:v>
                </c:pt>
              </c:numCache>
            </c:numRef>
          </c:xVal>
          <c:yVal>
            <c:numRef>
              <c:f>Uncertanties!$Y$5:$Y$6</c:f>
              <c:numCache>
                <c:formatCode>0.000</c:formatCode>
                <c:ptCount val="2"/>
                <c:pt idx="0">
                  <c:v>1</c:v>
                </c:pt>
                <c:pt idx="1">
                  <c:v>0.49999999999999989</c:v>
                </c:pt>
              </c:numCache>
            </c:numRef>
          </c:yVal>
          <c:smooth val="1"/>
          <c:extLst>
            <c:ext xmlns:c16="http://schemas.microsoft.com/office/drawing/2014/chart" uri="{C3380CC4-5D6E-409C-BE32-E72D297353CC}">
              <c16:uniqueId val="{00000000-6296-4219-B2AA-67A71BAE0BEA}"/>
            </c:ext>
          </c:extLst>
        </c:ser>
        <c:dLbls>
          <c:showLegendKey val="0"/>
          <c:showVal val="0"/>
          <c:showCatName val="0"/>
          <c:showSerName val="0"/>
          <c:showPercent val="0"/>
          <c:showBubbleSize val="0"/>
        </c:dLbls>
        <c:axId val="139590272"/>
        <c:axId val="140448128"/>
      </c:scatterChart>
      <c:valAx>
        <c:axId val="139590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448128"/>
        <c:crosses val="autoZero"/>
        <c:crossBetween val="midCat"/>
      </c:valAx>
      <c:valAx>
        <c:axId val="140448128"/>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95902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8424393600014777E-2"/>
                  <c:y val="6.4903415391567076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Uncertanties!$Z$5:$Z$6</c:f>
              <c:numCache>
                <c:formatCode>General</c:formatCode>
                <c:ptCount val="2"/>
                <c:pt idx="0">
                  <c:v>2020</c:v>
                </c:pt>
                <c:pt idx="1">
                  <c:v>2050</c:v>
                </c:pt>
              </c:numCache>
            </c:numRef>
          </c:xVal>
          <c:yVal>
            <c:numRef>
              <c:f>Uncertanties!$AA$5:$AA$6</c:f>
              <c:numCache>
                <c:formatCode>0.000</c:formatCode>
                <c:ptCount val="2"/>
                <c:pt idx="0">
                  <c:v>-0.47368421052631576</c:v>
                </c:pt>
                <c:pt idx="1">
                  <c:v>-0.6</c:v>
                </c:pt>
              </c:numCache>
            </c:numRef>
          </c:yVal>
          <c:smooth val="1"/>
          <c:extLst>
            <c:ext xmlns:c16="http://schemas.microsoft.com/office/drawing/2014/chart" uri="{C3380CC4-5D6E-409C-BE32-E72D297353CC}">
              <c16:uniqueId val="{00000000-21C2-4153-BB59-85E929032A9F}"/>
            </c:ext>
          </c:extLst>
        </c:ser>
        <c:dLbls>
          <c:showLegendKey val="0"/>
          <c:showVal val="0"/>
          <c:showCatName val="0"/>
          <c:showSerName val="0"/>
          <c:showPercent val="0"/>
          <c:showBubbleSize val="0"/>
        </c:dLbls>
        <c:axId val="140494720"/>
        <c:axId val="140496256"/>
      </c:scatterChart>
      <c:valAx>
        <c:axId val="140494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496256"/>
        <c:crosses val="autoZero"/>
        <c:crossBetween val="midCat"/>
      </c:valAx>
      <c:valAx>
        <c:axId val="14049625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4947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6.7941238721158398E-4"/>
                  <c:y val="8.6401638147888454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Uncertanties!$Z$5:$Z$6</c:f>
              <c:numCache>
                <c:formatCode>General</c:formatCode>
                <c:ptCount val="2"/>
                <c:pt idx="0">
                  <c:v>2020</c:v>
                </c:pt>
                <c:pt idx="1">
                  <c:v>2050</c:v>
                </c:pt>
              </c:numCache>
            </c:numRef>
          </c:xVal>
          <c:yVal>
            <c:numRef>
              <c:f>Uncertanties!$AB$5:$AB$6</c:f>
              <c:numCache>
                <c:formatCode>0.000</c:formatCode>
                <c:ptCount val="2"/>
                <c:pt idx="0">
                  <c:v>0.31578947368421051</c:v>
                </c:pt>
                <c:pt idx="1">
                  <c:v>0.19999999999999996</c:v>
                </c:pt>
              </c:numCache>
            </c:numRef>
          </c:yVal>
          <c:smooth val="1"/>
          <c:extLst>
            <c:ext xmlns:c16="http://schemas.microsoft.com/office/drawing/2014/chart" uri="{C3380CC4-5D6E-409C-BE32-E72D297353CC}">
              <c16:uniqueId val="{00000000-582A-4C4D-B9A2-8D649AF7B11E}"/>
            </c:ext>
          </c:extLst>
        </c:ser>
        <c:dLbls>
          <c:showLegendKey val="0"/>
          <c:showVal val="0"/>
          <c:showCatName val="0"/>
          <c:showSerName val="0"/>
          <c:showPercent val="0"/>
          <c:showBubbleSize val="0"/>
        </c:dLbls>
        <c:axId val="140575872"/>
        <c:axId val="140577408"/>
      </c:scatterChart>
      <c:valAx>
        <c:axId val="140575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577408"/>
        <c:crosses val="autoZero"/>
        <c:crossBetween val="midCat"/>
      </c:valAx>
      <c:valAx>
        <c:axId val="140577408"/>
        <c:scaling>
          <c:orientation val="minMax"/>
          <c:min val="0.150000000000000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5758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8.5783250159812682E-2"/>
                  <c:y val="0.6351467894180570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Uncertanties!$T$8:$T$9</c:f>
              <c:numCache>
                <c:formatCode>General</c:formatCode>
                <c:ptCount val="2"/>
                <c:pt idx="0">
                  <c:v>2020</c:v>
                </c:pt>
                <c:pt idx="1">
                  <c:v>2050</c:v>
                </c:pt>
              </c:numCache>
            </c:numRef>
          </c:xVal>
          <c:yVal>
            <c:numRef>
              <c:f>Uncertanties!$V$8:$V$9</c:f>
              <c:numCache>
                <c:formatCode>0.000</c:formatCode>
                <c:ptCount val="2"/>
                <c:pt idx="0">
                  <c:v>0.24999999999999994</c:v>
                </c:pt>
                <c:pt idx="1">
                  <c:v>1</c:v>
                </c:pt>
              </c:numCache>
            </c:numRef>
          </c:yVal>
          <c:smooth val="1"/>
          <c:extLst>
            <c:ext xmlns:c16="http://schemas.microsoft.com/office/drawing/2014/chart" uri="{C3380CC4-5D6E-409C-BE32-E72D297353CC}">
              <c16:uniqueId val="{00000000-D22D-47A3-B6C0-2AC69D1EABC7}"/>
            </c:ext>
          </c:extLst>
        </c:ser>
        <c:dLbls>
          <c:showLegendKey val="0"/>
          <c:showVal val="0"/>
          <c:showCatName val="0"/>
          <c:showSerName val="0"/>
          <c:showPercent val="0"/>
          <c:showBubbleSize val="0"/>
        </c:dLbls>
        <c:axId val="140628352"/>
        <c:axId val="140629888"/>
      </c:scatterChart>
      <c:valAx>
        <c:axId val="140628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629888"/>
        <c:crosses val="autoZero"/>
        <c:crossBetween val="midCat"/>
      </c:valAx>
      <c:valAx>
        <c:axId val="140629888"/>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06283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1297778599615849"/>
                  <c:y val="-1.1055753996103737E-2"/>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Uncertanties!$W$8:$W$9</c:f>
              <c:numCache>
                <c:formatCode>General</c:formatCode>
                <c:ptCount val="2"/>
                <c:pt idx="0">
                  <c:v>2020</c:v>
                </c:pt>
                <c:pt idx="1">
                  <c:v>2050</c:v>
                </c:pt>
              </c:numCache>
            </c:numRef>
          </c:xVal>
          <c:yVal>
            <c:numRef>
              <c:f>Uncertanties!$X$8:$X$9</c:f>
              <c:numCache>
                <c:formatCode>0.000</c:formatCode>
                <c:ptCount val="2"/>
                <c:pt idx="0">
                  <c:v>-0.25</c:v>
                </c:pt>
                <c:pt idx="1">
                  <c:v>-0.33333333333333331</c:v>
                </c:pt>
              </c:numCache>
            </c:numRef>
          </c:yVal>
          <c:smooth val="1"/>
          <c:extLst>
            <c:ext xmlns:c16="http://schemas.microsoft.com/office/drawing/2014/chart" uri="{C3380CC4-5D6E-409C-BE32-E72D297353CC}">
              <c16:uniqueId val="{00000000-8E4C-4432-AEDF-496DA5B19E1D}"/>
            </c:ext>
          </c:extLst>
        </c:ser>
        <c:dLbls>
          <c:showLegendKey val="0"/>
          <c:showVal val="0"/>
          <c:showCatName val="0"/>
          <c:showSerName val="0"/>
          <c:showPercent val="0"/>
          <c:showBubbleSize val="0"/>
        </c:dLbls>
        <c:axId val="141102464"/>
        <c:axId val="141104256"/>
      </c:scatterChart>
      <c:valAx>
        <c:axId val="14110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104256"/>
        <c:crosses val="autoZero"/>
        <c:crossBetween val="midCat"/>
      </c:valAx>
      <c:valAx>
        <c:axId val="14110425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11024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26.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27.xml.rels><?xml version="1.0" encoding="UTF-8" standalone="yes"?>
<Relationships xmlns="http://schemas.openxmlformats.org/package/2006/relationships"><Relationship Id="rId1" Type="http://schemas.openxmlformats.org/officeDocument/2006/relationships/drawing" Target="../drawings/drawing28.xml"/></Relationships>
</file>

<file path=xl/chartsheets/_rels/sheet28.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29.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0.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31.xml.rels><?xml version="1.0" encoding="UTF-8" standalone="yes"?>
<Relationships xmlns="http://schemas.openxmlformats.org/package/2006/relationships"><Relationship Id="rId1" Type="http://schemas.openxmlformats.org/officeDocument/2006/relationships/drawing" Target="../drawings/drawing32.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70"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zoomScale="121"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21"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70"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21"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21" workbookViewId="0" zoomToFit="1"/>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21" workbookViewId="0" zoomToFit="1"/>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21" workbookViewId="0" zoomToFit="1"/>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sheetViews>
    <sheetView zoomScale="121" workbookViewId="0" zoomToFit="1"/>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sheetViews>
    <sheetView zoomScale="121" workbookViewId="0" zoomToFit="1"/>
  </sheetViews>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500-000000000000}">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21" workbookViewId="0" zoomToFit="1"/>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600-000000000000}">
  <sheetPr/>
  <sheetViews>
    <sheetView zoomScale="121" workbookViewId="0" zoomToFit="1"/>
  </sheetViews>
  <pageMargins left="0.7" right="0.7" top="0.75" bottom="0.75" header="0.3" footer="0.3"/>
  <drawing r:id="rId1"/>
</chartsheet>
</file>

<file path=xl/chartsheets/sheet2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sheetViews>
    <sheetView zoomScale="121" workbookViewId="0" zoomToFit="1"/>
  </sheetViews>
  <pageMargins left="0.7" right="0.7" top="0.75" bottom="0.75" header="0.3" footer="0.3"/>
  <drawing r:id="rId1"/>
</chartsheet>
</file>

<file path=xl/chartsheets/sheet2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800-000000000000}">
  <sheetPr/>
  <sheetViews>
    <sheetView zoomScale="121" workbookViewId="0" zoomToFit="1"/>
  </sheetViews>
  <pageMargins left="0.7" right="0.7" top="0.75" bottom="0.75" header="0.3" footer="0.3"/>
  <drawing r:id="rId1"/>
</chartsheet>
</file>

<file path=xl/chartsheets/sheet2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900-000000000000}">
  <sheetPr/>
  <sheetViews>
    <sheetView zoomScale="121" workbookViewId="0" zoomToFit="1"/>
  </sheetViews>
  <pageMargins left="0.7" right="0.7" top="0.75" bottom="0.75" header="0.3" footer="0.3"/>
  <drawing r:id="rId1"/>
</chartsheet>
</file>

<file path=xl/chartsheets/sheet2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A00-000000000000}">
  <sheetPr/>
  <sheetViews>
    <sheetView zoomScale="121" workbookViewId="0" zoomToFit="1"/>
  </sheetViews>
  <pageMargins left="0.7" right="0.7" top="0.75" bottom="0.75" header="0.3" footer="0.3"/>
  <drawing r:id="rId1"/>
</chartsheet>
</file>

<file path=xl/chartsheets/sheet2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B00-000000000000}">
  <sheetPr/>
  <sheetViews>
    <sheetView zoomScale="121" workbookViewId="0" zoomToFit="1"/>
  </sheetViews>
  <pageMargins left="0.7" right="0.7" top="0.75" bottom="0.75" header="0.3" footer="0.3"/>
  <drawing r:id="rId1"/>
</chartsheet>
</file>

<file path=xl/chartsheets/sheet2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C00-000000000000}">
  <sheetPr/>
  <sheetViews>
    <sheetView zoomScale="121" workbookViewId="0" zoomToFit="1"/>
  </sheetViews>
  <pageMargins left="0.7" right="0.7" top="0.75" bottom="0.75" header="0.3" footer="0.3"/>
  <drawing r:id="rId1"/>
</chartsheet>
</file>

<file path=xl/chartsheets/sheet2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D00-000000000000}">
  <sheetPr/>
  <sheetViews>
    <sheetView zoomScale="121" workbookViewId="0" zoomToFit="1"/>
  </sheetViews>
  <pageMargins left="0.7" right="0.7" top="0.75" bottom="0.75" header="0.3" footer="0.3"/>
  <drawing r:id="rId1"/>
</chartsheet>
</file>

<file path=xl/chartsheets/sheet2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E00-000000000000}">
  <sheetPr/>
  <sheetViews>
    <sheetView zoomScale="121" workbookViewId="0" zoomToFit="1"/>
  </sheetViews>
  <pageMargins left="0.7" right="0.7" top="0.75" bottom="0.75" header="0.3" footer="0.3"/>
  <drawing r:id="rId1"/>
</chartsheet>
</file>

<file path=xl/chartsheets/sheet2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F00-000000000000}">
  <sheetPr/>
  <sheetViews>
    <sheetView zoomScale="12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21" workbookViewId="0" zoomToFit="1"/>
  </sheetViews>
  <pageMargins left="0.7" right="0.7" top="0.75" bottom="0.75" header="0.3" footer="0.3"/>
  <drawing r:id="rId1"/>
</chartsheet>
</file>

<file path=xl/chartsheets/sheet3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000-000000000000}">
  <sheetPr/>
  <sheetViews>
    <sheetView zoomScale="121" workbookViewId="0" zoomToFit="1"/>
  </sheetViews>
  <pageMargins left="0.7" right="0.7" top="0.75" bottom="0.75" header="0.3" footer="0.3"/>
  <drawing r:id="rId1"/>
</chartsheet>
</file>

<file path=xl/chartsheets/sheet3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100-000000000000}">
  <sheetPr/>
  <sheetViews>
    <sheetView zoomScale="12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21"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21"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21"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21"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121"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3</xdr:col>
      <xdr:colOff>114490</xdr:colOff>
      <xdr:row>38</xdr:row>
      <xdr:rowOff>151994</xdr:rowOff>
    </xdr:from>
    <xdr:to>
      <xdr:col>11</xdr:col>
      <xdr:colOff>5454042</xdr:colOff>
      <xdr:row>57</xdr:row>
      <xdr:rowOff>160974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625415" y="21407097"/>
          <a:ext cx="12907360" cy="44713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PC\Downloads\Li-Ion%20energy-intensive%20application%20-%20chang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 Pump Hydro Storage"/>
      <sheetName val="03 Li-Ion Battery power-intens"/>
      <sheetName val="04 Lead-Acid Battery"/>
      <sheetName val="05 Na-S Battery"/>
      <sheetName val="06 Vanadium Redox Flow Battery"/>
      <sheetName val="07 Molten Salt Storage"/>
      <sheetName val="08 CAES"/>
      <sheetName val="09 Supercapacitors"/>
      <sheetName val="10 Flywheel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1"/>
  <sheetViews>
    <sheetView showGridLines="0" topLeftCell="A46" zoomScale="80" zoomScaleNormal="80" workbookViewId="0">
      <selection activeCell="C63" sqref="C63:C85"/>
    </sheetView>
  </sheetViews>
  <sheetFormatPr baseColWidth="10" defaultColWidth="6.42578125" defaultRowHeight="18" x14ac:dyDescent="0.35"/>
  <cols>
    <col min="1" max="1" width="101.5703125" style="5" customWidth="1"/>
    <col min="2" max="2" width="56.28515625" style="1" hidden="1" customWidth="1"/>
    <col min="3" max="3" width="3.7109375" style="1" customWidth="1"/>
    <col min="4" max="10" width="10.7109375" style="1" customWidth="1"/>
    <col min="11" max="11" width="8.7109375" style="1" customWidth="1"/>
    <col min="12" max="12" width="18.28515625" style="1" customWidth="1"/>
    <col min="13" max="16384" width="6.42578125" style="1"/>
  </cols>
  <sheetData>
    <row r="2" spans="1:12" ht="20.100000000000001" customHeight="1" x14ac:dyDescent="0.35">
      <c r="A2" s="95" t="s">
        <v>160</v>
      </c>
      <c r="B2" s="64" t="s">
        <v>2</v>
      </c>
      <c r="D2" s="65"/>
      <c r="E2" s="83" t="s">
        <v>194</v>
      </c>
      <c r="F2" s="83"/>
      <c r="G2" s="83"/>
      <c r="H2" s="83"/>
      <c r="I2" s="83"/>
      <c r="J2" s="83"/>
      <c r="K2" s="83"/>
      <c r="L2" s="83"/>
    </row>
    <row r="3" spans="1:12" ht="20.100000000000001" customHeight="1" x14ac:dyDescent="0.35">
      <c r="A3" s="97"/>
      <c r="B3" s="85"/>
      <c r="D3" s="83">
        <v>2020</v>
      </c>
      <c r="E3" s="83">
        <v>2030</v>
      </c>
      <c r="F3" s="83">
        <v>2050</v>
      </c>
      <c r="G3" s="83" t="s">
        <v>195</v>
      </c>
      <c r="H3" s="83"/>
      <c r="I3" s="83" t="s">
        <v>196</v>
      </c>
      <c r="J3" s="83"/>
      <c r="K3" s="83" t="s">
        <v>197</v>
      </c>
      <c r="L3" s="83" t="s">
        <v>3</v>
      </c>
    </row>
    <row r="4" spans="1:12" ht="20.100000000000001" customHeight="1" x14ac:dyDescent="0.35">
      <c r="A4" s="97"/>
      <c r="B4" s="85"/>
      <c r="D4" s="83"/>
      <c r="E4" s="83"/>
      <c r="F4" s="83"/>
      <c r="G4" s="83"/>
      <c r="H4" s="83"/>
      <c r="I4" s="83"/>
      <c r="J4" s="83"/>
      <c r="K4" s="83"/>
      <c r="L4" s="83"/>
    </row>
    <row r="5" spans="1:12" ht="20.100000000000001" customHeight="1" x14ac:dyDescent="0.35">
      <c r="A5" s="95" t="s">
        <v>161</v>
      </c>
      <c r="B5" s="64" t="s">
        <v>4</v>
      </c>
      <c r="D5" s="66"/>
      <c r="E5" s="66"/>
      <c r="F5" s="66"/>
      <c r="G5" s="65" t="s">
        <v>198</v>
      </c>
      <c r="H5" s="65" t="s">
        <v>199</v>
      </c>
      <c r="I5" s="65" t="s">
        <v>198</v>
      </c>
      <c r="J5" s="65" t="s">
        <v>199</v>
      </c>
      <c r="K5" s="66"/>
      <c r="L5" s="65"/>
    </row>
    <row r="6" spans="1:12" ht="20.100000000000001" customHeight="1" x14ac:dyDescent="0.35">
      <c r="A6" s="98" t="s">
        <v>162</v>
      </c>
      <c r="B6" s="75" t="s">
        <v>5</v>
      </c>
      <c r="D6" s="84" t="s">
        <v>192</v>
      </c>
      <c r="E6" s="84"/>
      <c r="F6" s="84"/>
      <c r="G6" s="67"/>
      <c r="H6" s="67"/>
      <c r="I6" s="67"/>
      <c r="J6" s="67"/>
      <c r="K6" s="67"/>
      <c r="L6" s="67"/>
    </row>
    <row r="7" spans="1:12" ht="20.100000000000001" customHeight="1" x14ac:dyDescent="0.35">
      <c r="A7" s="99" t="s">
        <v>163</v>
      </c>
      <c r="B7" s="75" t="s">
        <v>6</v>
      </c>
      <c r="D7" s="84" t="s">
        <v>193</v>
      </c>
      <c r="E7" s="84"/>
      <c r="F7" s="84"/>
      <c r="G7" s="67"/>
      <c r="H7" s="67"/>
      <c r="I7" s="67"/>
      <c r="J7" s="67"/>
      <c r="K7" s="67"/>
      <c r="L7" s="67"/>
    </row>
    <row r="8" spans="1:12" ht="20.100000000000001" customHeight="1" x14ac:dyDescent="0.35">
      <c r="A8" s="99" t="s">
        <v>181</v>
      </c>
      <c r="B8" s="75" t="s">
        <v>7</v>
      </c>
      <c r="D8" s="67">
        <v>6</v>
      </c>
      <c r="E8" s="67">
        <f>Data!N3</f>
        <v>7</v>
      </c>
      <c r="F8" s="68">
        <f>Data!O3</f>
        <v>8</v>
      </c>
      <c r="G8" s="68">
        <f>$D$8+($D$8*Uncertanties!M3)</f>
        <v>5</v>
      </c>
      <c r="H8" s="68">
        <f>$D$8+($D$8*Uncertanties!N3)</f>
        <v>9</v>
      </c>
      <c r="I8" s="68">
        <f>$E$8+($E$8*Uncertanties!O3)</f>
        <v>5.9321359999999999</v>
      </c>
      <c r="J8" s="68">
        <f>$E$8+($E$8*Uncertanties!P3)</f>
        <v>10.5</v>
      </c>
      <c r="K8" s="67" t="s">
        <v>8</v>
      </c>
      <c r="L8" s="67" t="s">
        <v>111</v>
      </c>
    </row>
    <row r="9" spans="1:12" ht="20.100000000000001" customHeight="1" x14ac:dyDescent="0.35">
      <c r="A9" s="99" t="s">
        <v>187</v>
      </c>
      <c r="B9" s="75" t="s">
        <v>9</v>
      </c>
      <c r="D9" s="67">
        <f>D8*0.5</f>
        <v>3</v>
      </c>
      <c r="E9" s="69">
        <f>Data!N4</f>
        <v>3.5</v>
      </c>
      <c r="F9" s="68">
        <v>4</v>
      </c>
      <c r="G9" s="69">
        <f>$D$9+($D$9*Uncertanties!M4)</f>
        <v>2.6666666666666665</v>
      </c>
      <c r="H9" s="69">
        <f>$D$9+($D$9*Uncertanties!N4)</f>
        <v>3.5</v>
      </c>
      <c r="I9" s="69">
        <f>$E$9+($E$9*Uncertanties!O4)</f>
        <v>3.1440465</v>
      </c>
      <c r="J9" s="69">
        <f>$E$9+($E$9*Uncertanties!P4)</f>
        <v>4.083333333333333</v>
      </c>
      <c r="K9" s="67" t="s">
        <v>8</v>
      </c>
      <c r="L9" s="67" t="s">
        <v>111</v>
      </c>
    </row>
    <row r="10" spans="1:12" ht="20.100000000000001" customHeight="1" x14ac:dyDescent="0.35">
      <c r="A10" s="99" t="s">
        <v>188</v>
      </c>
      <c r="B10" s="75" t="s">
        <v>10</v>
      </c>
      <c r="D10" s="67">
        <f>D9</f>
        <v>3</v>
      </c>
      <c r="E10" s="67">
        <f>Data!N5</f>
        <v>3.5</v>
      </c>
      <c r="F10" s="68">
        <v>4</v>
      </c>
      <c r="G10" s="69">
        <f>G9</f>
        <v>2.6666666666666665</v>
      </c>
      <c r="H10" s="69">
        <f t="shared" ref="H10:J10" si="0">H9</f>
        <v>3.5</v>
      </c>
      <c r="I10" s="69">
        <f t="shared" si="0"/>
        <v>3.1440465</v>
      </c>
      <c r="J10" s="69">
        <f t="shared" si="0"/>
        <v>4.083333333333333</v>
      </c>
      <c r="K10" s="67" t="s">
        <v>8</v>
      </c>
      <c r="L10" s="67" t="s">
        <v>111</v>
      </c>
    </row>
    <row r="11" spans="1:12" ht="20.100000000000001" customHeight="1" x14ac:dyDescent="0.35">
      <c r="A11" s="99" t="s">
        <v>190</v>
      </c>
      <c r="B11" s="75" t="s">
        <v>11</v>
      </c>
      <c r="D11" s="67">
        <v>92</v>
      </c>
      <c r="E11" s="68">
        <f>Data!N6</f>
        <v>93.010989010989007</v>
      </c>
      <c r="F11" s="68">
        <f>E11</f>
        <v>93.010989010989007</v>
      </c>
      <c r="G11" s="68">
        <f>$D$11+($D$11*Uncertanties!M5)</f>
        <v>90.989010989010993</v>
      </c>
      <c r="H11" s="68">
        <f>$D$11+($D$11*Uncertanties!N5)</f>
        <v>93.010989010989007</v>
      </c>
      <c r="I11" s="68">
        <f>$E$11+($E$11*Uncertanties!O5)</f>
        <v>91.988890230648465</v>
      </c>
      <c r="J11" s="68">
        <f>$E$11+($E$11*Uncertanties!P5)</f>
        <v>94.302725626373615</v>
      </c>
      <c r="K11" s="67" t="s">
        <v>12</v>
      </c>
      <c r="L11" s="67" t="s">
        <v>112</v>
      </c>
    </row>
    <row r="12" spans="1:12" ht="20.100000000000001" customHeight="1" x14ac:dyDescent="0.35">
      <c r="A12" s="99" t="s">
        <v>189</v>
      </c>
      <c r="B12" s="75" t="s">
        <v>13</v>
      </c>
      <c r="D12" s="68">
        <f>D13%*D14</f>
        <v>96.039999999999992</v>
      </c>
      <c r="E12" s="68">
        <f>E13*E14%</f>
        <v>97.027577319587635</v>
      </c>
      <c r="F12" s="68">
        <f>F13*F14%</f>
        <v>97.027577319587635</v>
      </c>
      <c r="G12" s="68">
        <f t="shared" ref="G12:J12" si="1">G13%*G14</f>
        <v>96.039999999999992</v>
      </c>
      <c r="H12" s="68">
        <f t="shared" si="1"/>
        <v>97.022499999999994</v>
      </c>
      <c r="I12" s="68">
        <f t="shared" si="1"/>
        <v>96.775056549705951</v>
      </c>
      <c r="J12" s="68">
        <f t="shared" si="1"/>
        <v>98.015051085485212</v>
      </c>
      <c r="K12" s="67" t="s">
        <v>12</v>
      </c>
      <c r="L12" s="67" t="s">
        <v>112</v>
      </c>
    </row>
    <row r="13" spans="1:12" ht="20.100000000000001" customHeight="1" x14ac:dyDescent="0.35">
      <c r="A13" s="100" t="s">
        <v>164</v>
      </c>
      <c r="B13" s="76" t="s">
        <v>158</v>
      </c>
      <c r="D13" s="67">
        <v>98</v>
      </c>
      <c r="E13" s="68">
        <f>Data!N8</f>
        <v>98.5</v>
      </c>
      <c r="F13" s="68">
        <f>E13</f>
        <v>98.5</v>
      </c>
      <c r="G13" s="68">
        <f>$D$13+($D$13*Uncertanties!M6)</f>
        <v>98</v>
      </c>
      <c r="H13" s="68">
        <f>$D$13+($D$13*Uncertanties!N6)</f>
        <v>98.5</v>
      </c>
      <c r="I13" s="68">
        <f>$E$13+($E$13*Uncertanties!O6)</f>
        <v>98.374313999999998</v>
      </c>
      <c r="J13" s="68">
        <f>$E$13+($E$13*Uncertanties!P6)</f>
        <v>99.002551020408163</v>
      </c>
      <c r="K13" s="67" t="s">
        <v>14</v>
      </c>
      <c r="L13" s="67" t="s">
        <v>15</v>
      </c>
    </row>
    <row r="14" spans="1:12" ht="20.100000000000001" customHeight="1" x14ac:dyDescent="0.35">
      <c r="A14" s="100" t="s">
        <v>165</v>
      </c>
      <c r="B14" s="76" t="s">
        <v>16</v>
      </c>
      <c r="D14" s="67">
        <f>D13</f>
        <v>98</v>
      </c>
      <c r="E14" s="68">
        <f>Data!N9</f>
        <v>98.505154639175259</v>
      </c>
      <c r="F14" s="68">
        <f>E14</f>
        <v>98.505154639175259</v>
      </c>
      <c r="G14" s="67">
        <f t="shared" ref="G14:J14" si="2">G13</f>
        <v>98</v>
      </c>
      <c r="H14" s="68">
        <f t="shared" si="2"/>
        <v>98.5</v>
      </c>
      <c r="I14" s="68">
        <f t="shared" si="2"/>
        <v>98.374313999999998</v>
      </c>
      <c r="J14" s="68">
        <f t="shared" si="2"/>
        <v>99.002551020408163</v>
      </c>
      <c r="K14" s="67" t="s">
        <v>14</v>
      </c>
      <c r="L14" s="67" t="s">
        <v>15</v>
      </c>
    </row>
    <row r="15" spans="1:12" ht="20.100000000000001" customHeight="1" x14ac:dyDescent="0.35">
      <c r="A15" s="99" t="s">
        <v>166</v>
      </c>
      <c r="B15" s="75" t="s">
        <v>17</v>
      </c>
      <c r="D15" s="67">
        <v>0.1</v>
      </c>
      <c r="E15" s="67">
        <f>Data!N10</f>
        <v>0.1</v>
      </c>
      <c r="F15" s="67">
        <f>Data!O10</f>
        <v>0.1</v>
      </c>
      <c r="G15" s="70">
        <f>$D$15+($D$15*Uncertanties!M7)</f>
        <v>0.05</v>
      </c>
      <c r="H15" s="70">
        <f>$D$15+($D$15*Uncertanties!N7)</f>
        <v>0.2</v>
      </c>
      <c r="I15" s="70">
        <f>$E$15+($E$15*Uncertanties!O7)</f>
        <v>0.05</v>
      </c>
      <c r="J15" s="70">
        <f>$E$15+($E$15*Uncertanties!P7)</f>
        <v>0.18326569999999975</v>
      </c>
      <c r="K15" s="67" t="s">
        <v>18</v>
      </c>
      <c r="L15" s="67" t="s">
        <v>113</v>
      </c>
    </row>
    <row r="16" spans="1:12" ht="20.100000000000001" customHeight="1" x14ac:dyDescent="0.35">
      <c r="A16" s="99" t="s">
        <v>167</v>
      </c>
      <c r="B16" s="75" t="s">
        <v>19</v>
      </c>
      <c r="D16" s="67">
        <v>0.38</v>
      </c>
      <c r="E16" s="67">
        <f>Data!N11</f>
        <v>0.35</v>
      </c>
      <c r="F16" s="70">
        <f>Data!O11</f>
        <v>0.32236842105263153</v>
      </c>
      <c r="G16" s="70">
        <f>$D$16+($D$16*Uncertanties!M8)</f>
        <v>0.2</v>
      </c>
      <c r="H16" s="70">
        <f>$D$16+($D$16*Uncertanties!N8)</f>
        <v>0.5</v>
      </c>
      <c r="I16" s="70">
        <f>$E$16+($E$16*Uncertanties!O8)</f>
        <v>0.16913715000000024</v>
      </c>
      <c r="J16" s="70">
        <f>$E$16+($E$16*Uncertanties!P8)</f>
        <v>0.44676834999999981</v>
      </c>
      <c r="K16" s="67" t="s">
        <v>20</v>
      </c>
      <c r="L16" s="67"/>
    </row>
    <row r="17" spans="1:12" ht="20.100000000000001" customHeight="1" x14ac:dyDescent="0.35">
      <c r="A17" s="99" t="s">
        <v>168</v>
      </c>
      <c r="B17" s="75" t="s">
        <v>21</v>
      </c>
      <c r="D17" s="67">
        <v>0.2</v>
      </c>
      <c r="E17" s="70">
        <f>Data!N12</f>
        <v>0.1</v>
      </c>
      <c r="F17" s="67">
        <f>Data!O12</f>
        <v>0.05</v>
      </c>
      <c r="G17" s="70">
        <f>$D$17+($D$17*Uncertanties!M9)</f>
        <v>0.1</v>
      </c>
      <c r="H17" s="70">
        <f>$D$17+($D$17*Uncertanties!N9)</f>
        <v>0.25</v>
      </c>
      <c r="I17" s="70">
        <f>$E$17+($E$17*Uncertanties!O9)</f>
        <v>0.05</v>
      </c>
      <c r="J17" s="70">
        <f>$E$17+($E$17*Uncertanties!P9)</f>
        <v>0.15000000000000002</v>
      </c>
      <c r="K17" s="67" t="s">
        <v>20</v>
      </c>
      <c r="L17" s="67"/>
    </row>
    <row r="18" spans="1:12" ht="20.100000000000001" customHeight="1" x14ac:dyDescent="0.35">
      <c r="A18" s="99" t="s">
        <v>169</v>
      </c>
      <c r="B18" s="75" t="s">
        <v>22</v>
      </c>
      <c r="D18" s="67">
        <v>20</v>
      </c>
      <c r="E18" s="67">
        <f>Data!N13</f>
        <v>25</v>
      </c>
      <c r="F18" s="68">
        <f>Data!O13</f>
        <v>31.25</v>
      </c>
      <c r="G18" s="68">
        <f>$D$18+($D$18*Uncertanties!M10)</f>
        <v>15</v>
      </c>
      <c r="H18" s="68">
        <f>$D$18+($D$18*Uncertanties!N10)</f>
        <v>25</v>
      </c>
      <c r="I18" s="68">
        <f>$E$18+($E$18*Uncertanties!O10)</f>
        <v>18.04427500000001</v>
      </c>
      <c r="J18" s="68">
        <f>$E$18+($E$18*Uncertanties!P10)</f>
        <v>33.316425000000024</v>
      </c>
      <c r="K18" s="67" t="s">
        <v>23</v>
      </c>
      <c r="L18" s="67" t="s">
        <v>114</v>
      </c>
    </row>
    <row r="19" spans="1:12" ht="20.100000000000001" customHeight="1" x14ac:dyDescent="0.35">
      <c r="A19" s="99" t="s">
        <v>170</v>
      </c>
      <c r="B19" s="75" t="s">
        <v>24</v>
      </c>
      <c r="D19" s="67">
        <v>0.2</v>
      </c>
      <c r="E19" s="67">
        <f>Data!N14</f>
        <v>0.2</v>
      </c>
      <c r="F19" s="69">
        <f>Data!O14</f>
        <v>0.2</v>
      </c>
      <c r="G19" s="69">
        <f>$D$19+($D$19*Uncertanties!M11)</f>
        <v>0.2</v>
      </c>
      <c r="H19" s="69">
        <f>$D$19+($D$19*Uncertanties!N11)</f>
        <v>0.25</v>
      </c>
      <c r="I19" s="70">
        <f>$E$19+($E$19*Uncertanties!O11)</f>
        <v>0.16653139999999952</v>
      </c>
      <c r="J19" s="70">
        <f>$E$19+($E$19*Uncertanties!P11)</f>
        <v>0.25</v>
      </c>
      <c r="K19" s="67"/>
      <c r="L19" s="67" t="s">
        <v>25</v>
      </c>
    </row>
    <row r="20" spans="1:12" ht="20.100000000000001" customHeight="1" x14ac:dyDescent="0.35">
      <c r="A20" s="99" t="s">
        <v>171</v>
      </c>
      <c r="B20" s="75" t="s">
        <v>49</v>
      </c>
      <c r="D20" s="67">
        <v>14000</v>
      </c>
      <c r="E20" s="68">
        <f>Data!N26</f>
        <v>30000</v>
      </c>
      <c r="F20" s="68">
        <v>50000</v>
      </c>
      <c r="G20" s="68">
        <f>$D$20+($D$20*Uncertanties!M20)</f>
        <v>10000</v>
      </c>
      <c r="H20" s="68">
        <f>$D$20+($D$20*Uncertanties!N20)</f>
        <v>16000</v>
      </c>
      <c r="I20" s="68">
        <v>18200</v>
      </c>
      <c r="J20" s="68">
        <v>36800</v>
      </c>
      <c r="K20" s="67" t="s">
        <v>50</v>
      </c>
      <c r="L20" s="67" t="s">
        <v>115</v>
      </c>
    </row>
    <row r="21" spans="1:12" ht="20.100000000000001" customHeight="1" x14ac:dyDescent="0.35">
      <c r="A21" s="99" t="s">
        <v>172</v>
      </c>
      <c r="B21" s="77" t="s">
        <v>26</v>
      </c>
      <c r="D21" s="71"/>
      <c r="E21" s="71"/>
      <c r="F21" s="71"/>
      <c r="G21" s="71"/>
      <c r="H21" s="71"/>
      <c r="I21" s="71"/>
      <c r="J21" s="71"/>
      <c r="K21" s="71"/>
      <c r="L21" s="71"/>
    </row>
    <row r="22" spans="1:12" ht="20.100000000000001" customHeight="1" x14ac:dyDescent="0.35">
      <c r="A22" s="99" t="s">
        <v>182</v>
      </c>
      <c r="B22" s="75" t="s">
        <v>27</v>
      </c>
      <c r="D22" s="67" t="s">
        <v>28</v>
      </c>
      <c r="E22" s="67" t="s">
        <v>28</v>
      </c>
      <c r="F22" s="67" t="s">
        <v>28</v>
      </c>
      <c r="G22" s="67" t="s">
        <v>28</v>
      </c>
      <c r="H22" s="67" t="s">
        <v>28</v>
      </c>
      <c r="I22" s="67" t="s">
        <v>28</v>
      </c>
      <c r="J22" s="67" t="s">
        <v>28</v>
      </c>
      <c r="K22" s="67" t="s">
        <v>29</v>
      </c>
      <c r="L22" s="67" t="s">
        <v>30</v>
      </c>
    </row>
    <row r="23" spans="1:12" ht="20.100000000000001" customHeight="1" x14ac:dyDescent="0.35">
      <c r="A23" s="99" t="s">
        <v>174</v>
      </c>
      <c r="B23" s="75" t="s">
        <v>31</v>
      </c>
      <c r="D23" s="67" t="s">
        <v>28</v>
      </c>
      <c r="E23" s="67" t="s">
        <v>28</v>
      </c>
      <c r="F23" s="67" t="s">
        <v>28</v>
      </c>
      <c r="G23" s="67" t="s">
        <v>28</v>
      </c>
      <c r="H23" s="67" t="s">
        <v>28</v>
      </c>
      <c r="I23" s="67" t="s">
        <v>28</v>
      </c>
      <c r="J23" s="67" t="s">
        <v>28</v>
      </c>
      <c r="K23" s="67" t="s">
        <v>29</v>
      </c>
      <c r="L23" s="67" t="s">
        <v>30</v>
      </c>
    </row>
    <row r="24" spans="1:12" ht="20.100000000000001" customHeight="1" x14ac:dyDescent="0.35">
      <c r="A24" s="101" t="s">
        <v>175</v>
      </c>
      <c r="B24" s="77" t="s">
        <v>32</v>
      </c>
      <c r="D24" s="71"/>
      <c r="E24" s="71"/>
      <c r="F24" s="71"/>
      <c r="G24" s="71"/>
      <c r="H24" s="71"/>
      <c r="I24" s="71"/>
      <c r="J24" s="71"/>
      <c r="K24" s="71"/>
      <c r="L24" s="71"/>
    </row>
    <row r="25" spans="1:12" ht="20.100000000000001" customHeight="1" x14ac:dyDescent="0.35">
      <c r="A25" s="99" t="s">
        <v>183</v>
      </c>
      <c r="B25" s="75" t="s">
        <v>159</v>
      </c>
      <c r="D25" s="70">
        <f>((D26+D28)*D8+D27*D9)/D8</f>
        <v>0.40737000000000007</v>
      </c>
      <c r="E25" s="70">
        <f t="shared" ref="E25:J25" si="3">((E26+E28)*E8+E27*E9)/E8</f>
        <v>0.26421091139240505</v>
      </c>
      <c r="F25" s="70">
        <f>((F26+F28)*F8+F27*F9)/F8</f>
        <v>0.17487956981253003</v>
      </c>
      <c r="G25" s="70">
        <f t="shared" si="3"/>
        <v>0.31967999999999996</v>
      </c>
      <c r="H25" s="70">
        <f t="shared" si="3"/>
        <v>0.55204000000000009</v>
      </c>
      <c r="I25" s="70">
        <f t="shared" si="3"/>
        <v>0.19725029511345679</v>
      </c>
      <c r="J25" s="70">
        <f t="shared" si="3"/>
        <v>0.50705432008427653</v>
      </c>
      <c r="K25" s="67" t="s">
        <v>33</v>
      </c>
      <c r="L25" s="67" t="s">
        <v>116</v>
      </c>
    </row>
    <row r="26" spans="1:12" ht="20.100000000000001" customHeight="1" x14ac:dyDescent="0.35">
      <c r="A26" s="99" t="s">
        <v>271</v>
      </c>
      <c r="B26" s="78" t="s">
        <v>34</v>
      </c>
      <c r="D26" s="72">
        <v>0.14652000000000001</v>
      </c>
      <c r="E26" s="70">
        <f>Data!N18</f>
        <v>8.5500911392405066E-2</v>
      </c>
      <c r="F26" s="70">
        <f>Data!O18</f>
        <v>4.9893569812530042E-2</v>
      </c>
      <c r="G26" s="70">
        <f>$D$26+($D$26*Uncertanties!M12)</f>
        <v>7.7700000000000005E-2</v>
      </c>
      <c r="H26" s="70">
        <f>$D$26+($D$26*Uncertanties!N12)</f>
        <v>0.20979</v>
      </c>
      <c r="I26" s="70">
        <f>$E$26+($E$26*Uncertanties!O12)</f>
        <v>5.1375445633822743E-2</v>
      </c>
      <c r="J26" s="70">
        <f>$E$26+($E$26*Uncertanties!P12)</f>
        <v>0.17533877101427747</v>
      </c>
      <c r="K26" s="67"/>
      <c r="L26" s="67" t="s">
        <v>35</v>
      </c>
    </row>
    <row r="27" spans="1:12" ht="20.100000000000001" customHeight="1" x14ac:dyDescent="0.35">
      <c r="A27" s="99" t="s">
        <v>272</v>
      </c>
      <c r="B27" s="78" t="s">
        <v>36</v>
      </c>
      <c r="D27" s="72">
        <v>0.29970000000000002</v>
      </c>
      <c r="E27" s="70">
        <f>Data!N19</f>
        <v>0.17982000000000001</v>
      </c>
      <c r="F27" s="70">
        <f>Data!O19</f>
        <v>0.107892</v>
      </c>
      <c r="G27" s="70">
        <f>$D$27+($D$27*Uncertanties!M13)</f>
        <v>0.26639999999999997</v>
      </c>
      <c r="H27" s="70">
        <f>$D$27+($D$27*Uncertanties!N13)</f>
        <v>0.56610000000000005</v>
      </c>
      <c r="I27" s="70">
        <f>$E$27+($E$27*Uncertanties!O13)</f>
        <v>0.14666874443999978</v>
      </c>
      <c r="J27" s="70">
        <f>$E$27+($E$27*Uncertanties!P13)</f>
        <v>0.47621712617999645</v>
      </c>
      <c r="K27" s="67"/>
      <c r="L27" s="67" t="s">
        <v>37</v>
      </c>
    </row>
    <row r="28" spans="1:12" ht="20.100000000000001" customHeight="1" x14ac:dyDescent="0.35">
      <c r="A28" s="99" t="s">
        <v>191</v>
      </c>
      <c r="B28" s="78" t="s">
        <v>38</v>
      </c>
      <c r="D28" s="72">
        <v>0.11100000000000002</v>
      </c>
      <c r="E28" s="70">
        <f>Data!N20</f>
        <v>8.8800000000000004E-2</v>
      </c>
      <c r="F28" s="70">
        <f>Data!O20</f>
        <v>7.1039999999999992E-2</v>
      </c>
      <c r="G28" s="70">
        <f>$D$28+($D$28*Uncertanties!M14)</f>
        <v>9.9900000000000003E-2</v>
      </c>
      <c r="H28" s="70">
        <f>$D$28+($D$28*Uncertanties!N14)</f>
        <v>0.12210000000000001</v>
      </c>
      <c r="I28" s="70">
        <f>$E$28+($E$28*Uncertanties!O14)</f>
        <v>6.8140058400000036E-2</v>
      </c>
      <c r="J28" s="70">
        <f>$E$28+($E$28*Uncertanties!P14)</f>
        <v>0.14652000000000051</v>
      </c>
      <c r="K28" s="67" t="s">
        <v>39</v>
      </c>
      <c r="L28" s="67" t="s">
        <v>117</v>
      </c>
    </row>
    <row r="29" spans="1:12" ht="20.100000000000001" customHeight="1" x14ac:dyDescent="0.35">
      <c r="A29" s="99" t="s">
        <v>185</v>
      </c>
      <c r="B29" s="75" t="s">
        <v>88</v>
      </c>
      <c r="D29" s="70">
        <v>0.54</v>
      </c>
      <c r="E29" s="70">
        <f>Data!N21</f>
        <v>0.54</v>
      </c>
      <c r="F29" s="70">
        <f>Data!O21</f>
        <v>0.54</v>
      </c>
      <c r="G29" s="70">
        <f>$D$29+($D$29*Uncertanties!M15)</f>
        <v>0.45</v>
      </c>
      <c r="H29" s="70">
        <f>$D$29+($D$29*Uncertanties!N15)</f>
        <v>0.54</v>
      </c>
      <c r="I29" s="70">
        <f>$E$29+($E$29*Uncertanties!O15)</f>
        <v>0.43379333999999975</v>
      </c>
      <c r="J29" s="70">
        <f>$E$29+($E$29*Uncertanties!P15)</f>
        <v>0.54</v>
      </c>
      <c r="K29" s="67" t="s">
        <v>40</v>
      </c>
      <c r="L29" s="67" t="s">
        <v>37</v>
      </c>
    </row>
    <row r="30" spans="1:12" ht="20.100000000000001" customHeight="1" x14ac:dyDescent="0.35">
      <c r="A30" s="99" t="s">
        <v>186</v>
      </c>
      <c r="B30" s="75" t="s">
        <v>41</v>
      </c>
      <c r="D30" s="70">
        <v>2.2200000000000002</v>
      </c>
      <c r="E30" s="70">
        <f>Data!N22</f>
        <v>1.9980000000000002</v>
      </c>
      <c r="F30" s="70">
        <f>Data!O22</f>
        <v>1.7982000000000002</v>
      </c>
      <c r="G30" s="70">
        <f>$D$30+($D$30*Uncertanties!M16)</f>
        <v>0.44399999999999995</v>
      </c>
      <c r="H30" s="70">
        <f>$D$30+($D$30*Uncertanties!N16)</f>
        <v>6.2160000000000002</v>
      </c>
      <c r="I30" s="70">
        <f>$E$30+($E$30*Uncertanties!O16)</f>
        <v>0.38992368600000016</v>
      </c>
      <c r="J30" s="70">
        <f>$E$30+($E$30*Uncertanties!P16)</f>
        <v>4.7702250000000062</v>
      </c>
      <c r="K30" s="67" t="s">
        <v>42</v>
      </c>
      <c r="L30" s="67" t="s">
        <v>43</v>
      </c>
    </row>
    <row r="31" spans="1:12" ht="20.100000000000001" customHeight="1" x14ac:dyDescent="0.35">
      <c r="A31" s="101" t="s">
        <v>176</v>
      </c>
      <c r="B31" s="77" t="s">
        <v>44</v>
      </c>
      <c r="D31" s="73"/>
      <c r="E31" s="73"/>
      <c r="F31" s="73"/>
      <c r="G31" s="73"/>
      <c r="H31" s="73"/>
      <c r="I31" s="73"/>
      <c r="J31" s="73"/>
      <c r="K31" s="74"/>
      <c r="L31" s="74"/>
    </row>
    <row r="32" spans="1:12" ht="20.100000000000001" customHeight="1" x14ac:dyDescent="0.35">
      <c r="A32" s="99" t="s">
        <v>290</v>
      </c>
      <c r="B32" s="75" t="s">
        <v>155</v>
      </c>
      <c r="D32" s="72">
        <f t="shared" ref="D32:J32" si="4">D26+D28</f>
        <v>0.25752000000000003</v>
      </c>
      <c r="E32" s="72">
        <f>E26+E28</f>
        <v>0.17430091139240506</v>
      </c>
      <c r="F32" s="72">
        <f t="shared" si="4"/>
        <v>0.12093356981253003</v>
      </c>
      <c r="G32" s="72">
        <f>G26+G28</f>
        <v>0.17760000000000001</v>
      </c>
      <c r="H32" s="72">
        <f t="shared" si="4"/>
        <v>0.33189000000000002</v>
      </c>
      <c r="I32" s="72">
        <f t="shared" si="4"/>
        <v>0.11951550403382277</v>
      </c>
      <c r="J32" s="72">
        <f t="shared" si="4"/>
        <v>0.32185877101427796</v>
      </c>
      <c r="K32" s="67" t="s">
        <v>45</v>
      </c>
      <c r="L32" s="67" t="s">
        <v>116</v>
      </c>
    </row>
    <row r="33" spans="1:13" ht="20.100000000000001" customHeight="1" x14ac:dyDescent="0.35">
      <c r="A33" s="99" t="s">
        <v>291</v>
      </c>
      <c r="B33" s="75" t="s">
        <v>156</v>
      </c>
      <c r="D33" s="70">
        <f t="shared" ref="D33:F33" si="5">D27</f>
        <v>0.29970000000000002</v>
      </c>
      <c r="E33" s="70">
        <f t="shared" si="5"/>
        <v>0.17982000000000001</v>
      </c>
      <c r="F33" s="70">
        <f t="shared" si="5"/>
        <v>0.107892</v>
      </c>
      <c r="G33" s="70">
        <f>G27</f>
        <v>0.26639999999999997</v>
      </c>
      <c r="H33" s="70">
        <f>H27</f>
        <v>0.56610000000000005</v>
      </c>
      <c r="I33" s="70">
        <f>I27</f>
        <v>0.14666874443999978</v>
      </c>
      <c r="J33" s="70">
        <f>J27</f>
        <v>0.47621712617999645</v>
      </c>
      <c r="K33" s="67" t="s">
        <v>46</v>
      </c>
      <c r="L33" s="67" t="s">
        <v>47</v>
      </c>
    </row>
    <row r="34" spans="1:13" ht="20.100000000000001" customHeight="1" x14ac:dyDescent="0.35">
      <c r="A34" s="99" t="s">
        <v>292</v>
      </c>
      <c r="B34" s="75" t="s">
        <v>157</v>
      </c>
      <c r="D34" s="72">
        <v>0.36630000000000007</v>
      </c>
      <c r="E34" s="70">
        <f>Data!N25</f>
        <v>0.22200000000000006</v>
      </c>
      <c r="F34" s="70">
        <f>Data!O25</f>
        <v>0.13454545454545458</v>
      </c>
      <c r="G34" s="70">
        <f>$D$34+($D$34*Uncertanties!M19)</f>
        <v>0.31080000000000008</v>
      </c>
      <c r="H34" s="70">
        <f>$D$34+($D$34*Uncertanties!N19)</f>
        <v>0.64380000000000004</v>
      </c>
      <c r="I34" s="70">
        <f>$E$34+($E$34*Uncertanties!O19)</f>
        <v>0.17204888999999979</v>
      </c>
      <c r="J34" s="70">
        <f>$E$34+($E$34*Uncertanties!P19)</f>
        <v>0.5469576060000072</v>
      </c>
      <c r="K34" s="67" t="s">
        <v>48</v>
      </c>
      <c r="L34" s="67" t="s">
        <v>118</v>
      </c>
    </row>
    <row r="35" spans="1:13" ht="20.100000000000001" customHeight="1" x14ac:dyDescent="0.35">
      <c r="A35" s="102" t="s">
        <v>177</v>
      </c>
      <c r="B35" s="75" t="s">
        <v>51</v>
      </c>
      <c r="D35" s="68">
        <f t="shared" ref="D35:J35" si="6">D37/(D8/D9)</f>
        <v>57.692307692307693</v>
      </c>
      <c r="E35" s="68">
        <f t="shared" si="6"/>
        <v>67.307692307692307</v>
      </c>
      <c r="F35" s="68">
        <f t="shared" si="6"/>
        <v>76.92307692307692</v>
      </c>
      <c r="G35" s="68">
        <f t="shared" si="6"/>
        <v>56.849816849816854</v>
      </c>
      <c r="H35" s="68">
        <f t="shared" si="6"/>
        <v>59.829059829059823</v>
      </c>
      <c r="I35" s="68">
        <f t="shared" si="6"/>
        <v>61.038698219933778</v>
      </c>
      <c r="J35" s="68">
        <f t="shared" si="6"/>
        <v>71.534398504273497</v>
      </c>
      <c r="K35" s="67" t="s">
        <v>52</v>
      </c>
      <c r="L35" s="67" t="s">
        <v>119</v>
      </c>
      <c r="M35" s="2"/>
    </row>
    <row r="36" spans="1:13" ht="20.100000000000001" customHeight="1" x14ac:dyDescent="0.35">
      <c r="A36" s="99" t="s">
        <v>178</v>
      </c>
      <c r="B36" s="75" t="s">
        <v>53</v>
      </c>
      <c r="D36" s="68">
        <f t="shared" ref="D36:J36" si="7">D38/(D8/D9)</f>
        <v>68.901330275635885</v>
      </c>
      <c r="E36" s="68">
        <f t="shared" si="7"/>
        <v>80.384885321575211</v>
      </c>
      <c r="F36" s="68">
        <f t="shared" si="7"/>
        <v>91.868440367514523</v>
      </c>
      <c r="G36" s="68">
        <f t="shared" si="7"/>
        <v>68.406654058272352</v>
      </c>
      <c r="H36" s="68">
        <f t="shared" si="7"/>
        <v>82.446036227256599</v>
      </c>
      <c r="I36" s="68">
        <f t="shared" si="7"/>
        <v>71.79827609277342</v>
      </c>
      <c r="J36" s="68">
        <f t="shared" si="7"/>
        <v>96.187042265132717</v>
      </c>
      <c r="K36" s="67" t="s">
        <v>52</v>
      </c>
      <c r="L36" s="67" t="s">
        <v>119</v>
      </c>
      <c r="M36" s="2"/>
    </row>
    <row r="37" spans="1:13" ht="20.100000000000001" customHeight="1" x14ac:dyDescent="0.35">
      <c r="A37" s="99" t="s">
        <v>179</v>
      </c>
      <c r="B37" s="75" t="s">
        <v>54</v>
      </c>
      <c r="D37" s="68">
        <f>(Data!K35*1000)/Data!E35</f>
        <v>115.38461538461539</v>
      </c>
      <c r="E37" s="68">
        <f>D37*(E8/D8)</f>
        <v>134.61538461538461</v>
      </c>
      <c r="F37" s="68">
        <f>E37*(F8/E8)</f>
        <v>153.84615384615384</v>
      </c>
      <c r="G37" s="68">
        <f>$D$37+($D$37*Uncertanties!M21)</f>
        <v>106.5934065934066</v>
      </c>
      <c r="H37" s="68">
        <f>$D$37+($D$37*Uncertanties!N21)</f>
        <v>153.84615384615384</v>
      </c>
      <c r="I37" s="68">
        <f>$E$37+($E$37*Uncertanties!O21)</f>
        <v>115.1668269230767</v>
      </c>
      <c r="J37" s="68">
        <f>$E$37+($E$37*Uncertanties!P21)</f>
        <v>183.94559615384614</v>
      </c>
      <c r="K37" s="67" t="s">
        <v>52</v>
      </c>
      <c r="L37" s="67" t="s">
        <v>119</v>
      </c>
      <c r="M37" s="2"/>
    </row>
    <row r="38" spans="1:13" ht="20.100000000000001" customHeight="1" x14ac:dyDescent="0.35">
      <c r="A38" s="99" t="s">
        <v>180</v>
      </c>
      <c r="B38" s="75" t="s">
        <v>55</v>
      </c>
      <c r="D38" s="68">
        <f>(Data!K35/Data!H35)</f>
        <v>137.80266055127177</v>
      </c>
      <c r="E38" s="68">
        <f>D38*(E8/D8)</f>
        <v>160.76977064315042</v>
      </c>
      <c r="F38" s="68">
        <f>E38*(F8/E8)</f>
        <v>183.73688073502905</v>
      </c>
      <c r="G38" s="68">
        <f>$D$38+($D$38*Uncertanties!M22)</f>
        <v>128.26247635926066</v>
      </c>
      <c r="H38" s="68">
        <f>$D$38+($D$38*Uncertanties!N22)</f>
        <v>212.00409315580271</v>
      </c>
      <c r="I38" s="68">
        <f>$E$38+($E$38*Uncertanties!O22)</f>
        <v>135.46782413933144</v>
      </c>
      <c r="J38" s="68">
        <f>$E$38+($E$38*Uncertanties!P22)</f>
        <v>247.33810868176988</v>
      </c>
      <c r="K38" s="67" t="s">
        <v>52</v>
      </c>
      <c r="L38" s="67" t="s">
        <v>119</v>
      </c>
      <c r="M38" s="2"/>
    </row>
    <row r="39" spans="1:13" ht="15.75" customHeight="1" x14ac:dyDescent="0.35">
      <c r="D39" s="3"/>
      <c r="E39" s="3"/>
      <c r="F39" s="3"/>
      <c r="G39" s="3"/>
      <c r="H39" s="3"/>
      <c r="I39" s="3"/>
      <c r="J39" s="3"/>
      <c r="K39" s="3"/>
      <c r="L39" s="3"/>
    </row>
    <row r="40" spans="1:13" ht="15.75" customHeight="1" x14ac:dyDescent="0.35">
      <c r="D40" s="96" t="s">
        <v>200</v>
      </c>
      <c r="F40" s="3"/>
      <c r="G40" s="96">
        <v>1.1100000000000001</v>
      </c>
      <c r="H40" s="3"/>
      <c r="I40" s="3"/>
      <c r="J40" s="3"/>
      <c r="K40" s="3"/>
      <c r="L40" s="3"/>
    </row>
    <row r="41" spans="1:13" ht="15" customHeight="1" x14ac:dyDescent="0.35"/>
    <row r="42" spans="1:13" x14ac:dyDescent="0.35">
      <c r="D42" s="4" t="s">
        <v>201</v>
      </c>
    </row>
    <row r="43" spans="1:13" s="6" customFormat="1" x14ac:dyDescent="0.35">
      <c r="A43" s="5"/>
      <c r="B43" s="1"/>
      <c r="C43" s="10"/>
      <c r="D43" s="12" t="s">
        <v>203</v>
      </c>
    </row>
    <row r="44" spans="1:13" x14ac:dyDescent="0.35">
      <c r="C44" s="8"/>
      <c r="D44" s="9" t="s">
        <v>218</v>
      </c>
    </row>
    <row r="45" spans="1:13" x14ac:dyDescent="0.35">
      <c r="C45" s="8"/>
      <c r="D45" s="9" t="s">
        <v>204</v>
      </c>
    </row>
    <row r="46" spans="1:13" x14ac:dyDescent="0.35">
      <c r="C46" s="8"/>
      <c r="D46" s="9" t="s">
        <v>217</v>
      </c>
    </row>
    <row r="47" spans="1:13" x14ac:dyDescent="0.35">
      <c r="A47" s="7"/>
      <c r="B47" s="6"/>
      <c r="C47" s="8"/>
      <c r="D47" s="9" t="s">
        <v>216</v>
      </c>
    </row>
    <row r="48" spans="1:13" x14ac:dyDescent="0.35">
      <c r="C48" s="8"/>
      <c r="D48" s="9" t="s">
        <v>215</v>
      </c>
    </row>
    <row r="49" spans="1:5" x14ac:dyDescent="0.35">
      <c r="C49" s="8"/>
      <c r="D49" s="9" t="s">
        <v>205</v>
      </c>
    </row>
    <row r="50" spans="1:5" x14ac:dyDescent="0.35">
      <c r="C50" s="8"/>
      <c r="D50" s="9" t="s">
        <v>206</v>
      </c>
    </row>
    <row r="51" spans="1:5" x14ac:dyDescent="0.35">
      <c r="C51" s="8"/>
      <c r="D51" s="9" t="s">
        <v>207</v>
      </c>
    </row>
    <row r="52" spans="1:5" x14ac:dyDescent="0.35">
      <c r="C52" s="8"/>
      <c r="D52" s="9" t="s">
        <v>208</v>
      </c>
    </row>
    <row r="53" spans="1:5" x14ac:dyDescent="0.35">
      <c r="C53" s="8"/>
      <c r="D53" s="9" t="s">
        <v>209</v>
      </c>
    </row>
    <row r="54" spans="1:5" x14ac:dyDescent="0.35">
      <c r="C54" s="8"/>
      <c r="D54" s="9" t="s">
        <v>210</v>
      </c>
    </row>
    <row r="55" spans="1:5" x14ac:dyDescent="0.35">
      <c r="C55" s="8"/>
      <c r="D55" s="9" t="s">
        <v>211</v>
      </c>
    </row>
    <row r="56" spans="1:5" x14ac:dyDescent="0.35">
      <c r="C56" s="8"/>
      <c r="D56" s="9" t="s">
        <v>212</v>
      </c>
    </row>
    <row r="57" spans="1:5" x14ac:dyDescent="0.35">
      <c r="C57" s="8"/>
      <c r="D57" s="9" t="s">
        <v>213</v>
      </c>
    </row>
    <row r="58" spans="1:5" x14ac:dyDescent="0.35">
      <c r="C58" s="8"/>
      <c r="D58" s="9" t="s">
        <v>214</v>
      </c>
    </row>
    <row r="59" spans="1:5" x14ac:dyDescent="0.35">
      <c r="C59" s="8"/>
      <c r="D59" s="9" t="s">
        <v>219</v>
      </c>
    </row>
    <row r="61" spans="1:5" x14ac:dyDescent="0.35">
      <c r="D61" s="4" t="s">
        <v>202</v>
      </c>
      <c r="E61" s="5"/>
    </row>
    <row r="62" spans="1:5" ht="10.5" customHeight="1" x14ac:dyDescent="0.35">
      <c r="E62" s="5"/>
    </row>
    <row r="63" spans="1:5" s="10" customFormat="1" x14ac:dyDescent="0.35">
      <c r="A63" s="5"/>
      <c r="B63" s="1"/>
      <c r="C63" s="15" t="s">
        <v>15</v>
      </c>
      <c r="D63" s="11" t="s">
        <v>56</v>
      </c>
    </row>
    <row r="64" spans="1:5" s="10" customFormat="1" x14ac:dyDescent="0.35">
      <c r="A64" s="5"/>
      <c r="B64" s="1"/>
      <c r="C64" s="15" t="s">
        <v>273</v>
      </c>
      <c r="D64" s="11" t="s">
        <v>57</v>
      </c>
    </row>
    <row r="65" spans="1:4" s="10" customFormat="1" x14ac:dyDescent="0.35">
      <c r="A65" s="5"/>
      <c r="B65" s="1"/>
      <c r="C65" s="15" t="s">
        <v>274</v>
      </c>
      <c r="D65" s="11" t="s">
        <v>58</v>
      </c>
    </row>
    <row r="66" spans="1:4" s="10" customFormat="1" x14ac:dyDescent="0.35">
      <c r="A66" s="5"/>
      <c r="B66" s="1"/>
      <c r="C66" s="15" t="s">
        <v>275</v>
      </c>
      <c r="D66" s="11" t="s">
        <v>59</v>
      </c>
    </row>
    <row r="67" spans="1:4" s="10" customFormat="1" ht="15" x14ac:dyDescent="0.3">
      <c r="A67" s="11"/>
      <c r="C67" s="15" t="s">
        <v>276</v>
      </c>
      <c r="D67" s="11" t="s">
        <v>60</v>
      </c>
    </row>
    <row r="68" spans="1:4" s="10" customFormat="1" ht="15" x14ac:dyDescent="0.3">
      <c r="A68" s="11"/>
      <c r="C68" s="15" t="s">
        <v>277</v>
      </c>
      <c r="D68" s="11" t="s">
        <v>61</v>
      </c>
    </row>
    <row r="69" spans="1:4" s="10" customFormat="1" ht="15" x14ac:dyDescent="0.3">
      <c r="A69" s="11"/>
      <c r="C69" s="15" t="s">
        <v>278</v>
      </c>
      <c r="D69" s="11" t="s">
        <v>62</v>
      </c>
    </row>
    <row r="70" spans="1:4" s="10" customFormat="1" ht="15" x14ac:dyDescent="0.3">
      <c r="A70" s="11"/>
      <c r="C70" s="15" t="s">
        <v>279</v>
      </c>
      <c r="D70" s="11" t="s">
        <v>63</v>
      </c>
    </row>
    <row r="71" spans="1:4" s="10" customFormat="1" ht="15" x14ac:dyDescent="0.3">
      <c r="A71" s="11"/>
      <c r="C71" s="15" t="s">
        <v>280</v>
      </c>
      <c r="D71" s="11" t="s">
        <v>64</v>
      </c>
    </row>
    <row r="72" spans="1:4" s="10" customFormat="1" ht="15" x14ac:dyDescent="0.3">
      <c r="A72" s="11"/>
      <c r="C72" s="15" t="s">
        <v>281</v>
      </c>
      <c r="D72" s="11" t="s">
        <v>65</v>
      </c>
    </row>
    <row r="73" spans="1:4" s="10" customFormat="1" ht="15" x14ac:dyDescent="0.3">
      <c r="A73" s="11"/>
      <c r="C73" s="15" t="s">
        <v>25</v>
      </c>
      <c r="D73" s="11" t="s">
        <v>66</v>
      </c>
    </row>
    <row r="74" spans="1:4" s="10" customFormat="1" ht="15" x14ac:dyDescent="0.3">
      <c r="A74" s="11"/>
      <c r="C74" s="15" t="s">
        <v>282</v>
      </c>
      <c r="D74" s="11" t="s">
        <v>67</v>
      </c>
    </row>
    <row r="75" spans="1:4" s="10" customFormat="1" ht="15" x14ac:dyDescent="0.3">
      <c r="A75" s="11"/>
      <c r="C75" s="15" t="s">
        <v>283</v>
      </c>
      <c r="D75" s="11" t="s">
        <v>68</v>
      </c>
    </row>
    <row r="76" spans="1:4" s="10" customFormat="1" ht="15" x14ac:dyDescent="0.3">
      <c r="A76" s="11"/>
      <c r="C76" s="15" t="s">
        <v>35</v>
      </c>
      <c r="D76" s="11" t="s">
        <v>69</v>
      </c>
    </row>
    <row r="77" spans="1:4" s="10" customFormat="1" ht="15" x14ac:dyDescent="0.3">
      <c r="A77" s="11"/>
      <c r="C77" s="15" t="s">
        <v>284</v>
      </c>
      <c r="D77" s="11" t="s">
        <v>70</v>
      </c>
    </row>
    <row r="78" spans="1:4" s="10" customFormat="1" ht="15" x14ac:dyDescent="0.3">
      <c r="A78" s="11"/>
      <c r="C78" s="15" t="s">
        <v>285</v>
      </c>
      <c r="D78" s="11" t="s">
        <v>71</v>
      </c>
    </row>
    <row r="79" spans="1:4" s="10" customFormat="1" ht="15" x14ac:dyDescent="0.3">
      <c r="A79" s="11"/>
      <c r="C79" s="15" t="s">
        <v>286</v>
      </c>
      <c r="D79" s="11" t="s">
        <v>72</v>
      </c>
    </row>
    <row r="80" spans="1:4" s="10" customFormat="1" ht="15" x14ac:dyDescent="0.3">
      <c r="A80" s="11"/>
      <c r="C80" s="15" t="s">
        <v>287</v>
      </c>
      <c r="D80" s="11" t="s">
        <v>73</v>
      </c>
    </row>
    <row r="81" spans="1:4" s="10" customFormat="1" ht="15" x14ac:dyDescent="0.3">
      <c r="A81" s="11"/>
      <c r="C81" s="15" t="s">
        <v>30</v>
      </c>
      <c r="D81" s="11" t="s">
        <v>74</v>
      </c>
    </row>
    <row r="82" spans="1:4" s="10" customFormat="1" ht="15" x14ac:dyDescent="0.3">
      <c r="A82" s="11"/>
      <c r="C82" s="15" t="s">
        <v>288</v>
      </c>
      <c r="D82" s="11" t="s">
        <v>75</v>
      </c>
    </row>
    <row r="83" spans="1:4" s="10" customFormat="1" ht="15" x14ac:dyDescent="0.3">
      <c r="A83" s="11"/>
      <c r="C83" s="15" t="s">
        <v>43</v>
      </c>
      <c r="D83" s="11" t="s">
        <v>76</v>
      </c>
    </row>
    <row r="84" spans="1:4" s="10" customFormat="1" ht="15" x14ac:dyDescent="0.3">
      <c r="A84" s="11"/>
      <c r="C84" s="15" t="s">
        <v>289</v>
      </c>
      <c r="D84" s="11" t="s">
        <v>77</v>
      </c>
    </row>
    <row r="85" spans="1:4" s="10" customFormat="1" ht="15" x14ac:dyDescent="0.3">
      <c r="A85" s="11"/>
      <c r="C85" s="15" t="s">
        <v>37</v>
      </c>
      <c r="D85" s="11" t="s">
        <v>78</v>
      </c>
    </row>
    <row r="86" spans="1:4" x14ac:dyDescent="0.35">
      <c r="A86" s="11"/>
      <c r="B86" s="10"/>
    </row>
    <row r="87" spans="1:4" x14ac:dyDescent="0.35">
      <c r="A87" s="11"/>
      <c r="B87" s="10"/>
    </row>
    <row r="88" spans="1:4" x14ac:dyDescent="0.35">
      <c r="A88" s="11"/>
      <c r="B88" s="10"/>
    </row>
    <row r="89" spans="1:4" x14ac:dyDescent="0.35">
      <c r="A89" s="11"/>
      <c r="B89" s="10"/>
    </row>
    <row r="99" spans="1:2" s="6" customFormat="1" x14ac:dyDescent="0.35">
      <c r="A99" s="5"/>
      <c r="B99" s="1"/>
    </row>
    <row r="101" spans="1:2" s="6" customFormat="1" x14ac:dyDescent="0.35">
      <c r="A101" s="5"/>
      <c r="B101" s="1"/>
    </row>
    <row r="102" spans="1:2" s="6" customFormat="1" x14ac:dyDescent="0.35">
      <c r="A102" s="5"/>
      <c r="B102" s="1"/>
    </row>
    <row r="103" spans="1:2" x14ac:dyDescent="0.35">
      <c r="A103" s="7"/>
      <c r="B103" s="6"/>
    </row>
    <row r="105" spans="1:2" s="6" customFormat="1" x14ac:dyDescent="0.35">
      <c r="A105" s="7"/>
    </row>
    <row r="106" spans="1:2" x14ac:dyDescent="0.35">
      <c r="A106" s="7"/>
      <c r="B106" s="6"/>
    </row>
    <row r="109" spans="1:2" s="6" customFormat="1" x14ac:dyDescent="0.35">
      <c r="A109" s="7"/>
    </row>
    <row r="111" spans="1:2" s="6" customFormat="1" x14ac:dyDescent="0.35">
      <c r="A111" s="5"/>
      <c r="B111" s="1"/>
    </row>
    <row r="112" spans="1:2" s="6" customFormat="1" x14ac:dyDescent="0.35">
      <c r="A112" s="5"/>
      <c r="B112" s="1"/>
    </row>
    <row r="113" spans="1:2" s="6" customFormat="1" x14ac:dyDescent="0.35">
      <c r="A113" s="7"/>
    </row>
    <row r="114" spans="1:2" s="6" customFormat="1" x14ac:dyDescent="0.35">
      <c r="A114" s="5"/>
      <c r="B114" s="1"/>
    </row>
    <row r="115" spans="1:2" s="6" customFormat="1" x14ac:dyDescent="0.35">
      <c r="A115" s="7"/>
    </row>
    <row r="116" spans="1:2" s="6" customFormat="1" x14ac:dyDescent="0.35">
      <c r="A116" s="7"/>
    </row>
    <row r="117" spans="1:2" s="6" customFormat="1" x14ac:dyDescent="0.35">
      <c r="A117" s="7"/>
    </row>
    <row r="118" spans="1:2" x14ac:dyDescent="0.35">
      <c r="A118" s="7"/>
      <c r="B118" s="6"/>
    </row>
    <row r="119" spans="1:2" x14ac:dyDescent="0.35">
      <c r="A119" s="7"/>
      <c r="B119" s="6"/>
    </row>
    <row r="120" spans="1:2" x14ac:dyDescent="0.35">
      <c r="A120" s="7"/>
      <c r="B120" s="6"/>
    </row>
    <row r="121" spans="1:2" x14ac:dyDescent="0.35">
      <c r="A121" s="7"/>
      <c r="B121" s="6"/>
    </row>
  </sheetData>
  <mergeCells count="12">
    <mergeCell ref="A3:A4"/>
    <mergeCell ref="B3:B4"/>
    <mergeCell ref="D3:D4"/>
    <mergeCell ref="E3:E4"/>
    <mergeCell ref="F3:F4"/>
    <mergeCell ref="G3:H4"/>
    <mergeCell ref="L3:L4"/>
    <mergeCell ref="D6:F6"/>
    <mergeCell ref="D7:F7"/>
    <mergeCell ref="E2:L2"/>
    <mergeCell ref="K3:K4"/>
    <mergeCell ref="I3: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7"/>
  <sheetViews>
    <sheetView topLeftCell="A4" zoomScale="73" zoomScaleNormal="73" workbookViewId="0">
      <selection activeCell="E89" sqref="E89"/>
    </sheetView>
  </sheetViews>
  <sheetFormatPr baseColWidth="10" defaultColWidth="11.42578125" defaultRowHeight="18" x14ac:dyDescent="0.35"/>
  <cols>
    <col min="1" max="1" width="92.140625" style="6" customWidth="1"/>
    <col min="2" max="2" width="75" style="6" hidden="1" customWidth="1"/>
    <col min="3" max="3" width="5.5703125" style="7" customWidth="1"/>
    <col min="4" max="6" width="10.140625" style="6" customWidth="1"/>
    <col min="7" max="7" width="19.28515625" style="6" customWidth="1"/>
    <col min="8" max="8" width="14" style="6" customWidth="1"/>
    <col min="9" max="9" width="19.28515625" style="6" customWidth="1"/>
    <col min="10" max="10" width="13.5703125" style="6" customWidth="1"/>
    <col min="11" max="11" width="16.7109375" style="6" customWidth="1"/>
    <col min="12" max="12" width="85.5703125" style="7" customWidth="1"/>
    <col min="13" max="14" width="9.5703125" style="6" customWidth="1"/>
    <col min="15" max="15" width="9.85546875" style="6" bestFit="1" customWidth="1"/>
    <col min="16" max="16" width="11.5703125" style="6" bestFit="1" customWidth="1"/>
    <col min="17" max="16384" width="11.42578125" style="6"/>
  </cols>
  <sheetData>
    <row r="1" spans="1:16" ht="49.5" customHeight="1" x14ac:dyDescent="0.35">
      <c r="A1" s="53"/>
      <c r="F1" s="25"/>
      <c r="G1" s="82" t="s">
        <v>239</v>
      </c>
      <c r="H1" s="104"/>
      <c r="I1" s="82" t="s">
        <v>240</v>
      </c>
      <c r="J1" s="23"/>
      <c r="L1" s="88" t="s">
        <v>242</v>
      </c>
      <c r="M1" s="87" t="s">
        <v>243</v>
      </c>
      <c r="N1" s="87"/>
      <c r="O1" s="87"/>
    </row>
    <row r="2" spans="1:16" ht="20.100000000000001" customHeight="1" x14ac:dyDescent="0.35">
      <c r="A2" s="105" t="s">
        <v>220</v>
      </c>
      <c r="B2" s="26" t="s">
        <v>0</v>
      </c>
      <c r="D2" s="23">
        <v>2015</v>
      </c>
      <c r="E2" s="23">
        <v>2020</v>
      </c>
      <c r="F2" s="23">
        <v>2030</v>
      </c>
      <c r="G2" s="27" t="s">
        <v>79</v>
      </c>
      <c r="H2" s="23">
        <v>2050</v>
      </c>
      <c r="I2" s="27" t="s">
        <v>80</v>
      </c>
      <c r="J2" s="27"/>
      <c r="K2" s="23" t="s">
        <v>241</v>
      </c>
      <c r="L2" s="88"/>
      <c r="M2" s="23">
        <v>2020</v>
      </c>
      <c r="N2" s="23">
        <v>2030</v>
      </c>
      <c r="O2" s="28">
        <v>2050</v>
      </c>
      <c r="P2" s="6" t="s">
        <v>244</v>
      </c>
    </row>
    <row r="3" spans="1:16" ht="30" customHeight="1" x14ac:dyDescent="0.35">
      <c r="A3" s="94" t="s">
        <v>181</v>
      </c>
      <c r="B3" s="29" t="s">
        <v>120</v>
      </c>
      <c r="D3" s="30">
        <v>3.2</v>
      </c>
      <c r="E3" s="30">
        <v>6</v>
      </c>
      <c r="F3" s="30">
        <v>7</v>
      </c>
      <c r="G3" s="31">
        <f t="shared" ref="G3:G14" si="0">(F3-E3)/E3</f>
        <v>0.16666666666666666</v>
      </c>
      <c r="H3" s="30">
        <v>8</v>
      </c>
      <c r="I3" s="31">
        <f>(H3-F3)/F3</f>
        <v>0.14285714285714285</v>
      </c>
      <c r="J3" s="31"/>
      <c r="K3" s="86" t="s">
        <v>37</v>
      </c>
      <c r="L3" s="108" t="s">
        <v>293</v>
      </c>
      <c r="M3" s="32">
        <f>'Lithium Ion'!D8</f>
        <v>6</v>
      </c>
      <c r="N3" s="13">
        <f t="shared" ref="N3:N14" si="1">M3*(1+G3)</f>
        <v>7</v>
      </c>
      <c r="O3" s="13">
        <f t="shared" ref="O3:O9" si="2">N3*(1+I3)</f>
        <v>8</v>
      </c>
    </row>
    <row r="4" spans="1:16" ht="30" customHeight="1" x14ac:dyDescent="0.35">
      <c r="A4" s="94" t="s">
        <v>187</v>
      </c>
      <c r="B4" s="29" t="s">
        <v>121</v>
      </c>
      <c r="D4" s="30">
        <v>9.6</v>
      </c>
      <c r="E4" s="30">
        <v>18</v>
      </c>
      <c r="F4" s="30">
        <v>21</v>
      </c>
      <c r="G4" s="31">
        <f t="shared" si="0"/>
        <v>0.16666666666666666</v>
      </c>
      <c r="H4" s="30">
        <v>24</v>
      </c>
      <c r="I4" s="31">
        <f t="shared" ref="I4:I10" si="3">(H4-F4)/F4</f>
        <v>0.14285714285714285</v>
      </c>
      <c r="J4" s="31"/>
      <c r="K4" s="86"/>
      <c r="L4" s="108"/>
      <c r="M4" s="32">
        <f>'Lithium Ion'!D9</f>
        <v>3</v>
      </c>
      <c r="N4" s="13">
        <f t="shared" si="1"/>
        <v>3.5</v>
      </c>
      <c r="O4" s="13">
        <f t="shared" si="2"/>
        <v>4</v>
      </c>
      <c r="P4" s="33">
        <f>E4/E3</f>
        <v>3</v>
      </c>
    </row>
    <row r="5" spans="1:16" ht="30" customHeight="1" x14ac:dyDescent="0.35">
      <c r="A5" s="94" t="s">
        <v>188</v>
      </c>
      <c r="B5" s="29" t="s">
        <v>122</v>
      </c>
      <c r="D5" s="30">
        <v>1.6</v>
      </c>
      <c r="E5" s="32">
        <v>3</v>
      </c>
      <c r="F5" s="30">
        <v>3.5</v>
      </c>
      <c r="G5" s="31">
        <f t="shared" si="0"/>
        <v>0.16666666666666666</v>
      </c>
      <c r="H5" s="32">
        <v>4</v>
      </c>
      <c r="I5" s="31">
        <f t="shared" si="3"/>
        <v>0.14285714285714285</v>
      </c>
      <c r="J5" s="31"/>
      <c r="K5" s="86"/>
      <c r="L5" s="108"/>
      <c r="M5" s="32">
        <f>'Lithium Ion'!D10</f>
        <v>3</v>
      </c>
      <c r="N5" s="13">
        <f t="shared" si="1"/>
        <v>3.5</v>
      </c>
      <c r="O5" s="13">
        <f t="shared" si="2"/>
        <v>4</v>
      </c>
      <c r="P5" s="33">
        <f>E5/E3</f>
        <v>0.5</v>
      </c>
    </row>
    <row r="6" spans="1:16" ht="39.950000000000003" customHeight="1" x14ac:dyDescent="0.35">
      <c r="A6" s="94" t="s">
        <v>230</v>
      </c>
      <c r="B6" s="29" t="s">
        <v>123</v>
      </c>
      <c r="D6" s="30">
        <v>91</v>
      </c>
      <c r="E6" s="32">
        <v>91</v>
      </c>
      <c r="F6" s="32">
        <v>92</v>
      </c>
      <c r="G6" s="34">
        <f t="shared" si="0"/>
        <v>1.098901098901099E-2</v>
      </c>
      <c r="H6" s="32">
        <v>92</v>
      </c>
      <c r="I6" s="35">
        <f t="shared" si="3"/>
        <v>0</v>
      </c>
      <c r="J6" s="31"/>
      <c r="K6" s="86"/>
      <c r="L6" s="106" t="s">
        <v>294</v>
      </c>
      <c r="M6" s="30">
        <f>'Lithium Ion'!D11</f>
        <v>92</v>
      </c>
      <c r="N6" s="20">
        <f t="shared" si="1"/>
        <v>93.010989010989007</v>
      </c>
      <c r="O6" s="20">
        <f t="shared" si="2"/>
        <v>93.010989010989007</v>
      </c>
    </row>
    <row r="7" spans="1:16" ht="39.950000000000003" customHeight="1" x14ac:dyDescent="0.35">
      <c r="A7" s="94" t="s">
        <v>189</v>
      </c>
      <c r="B7" s="29" t="s">
        <v>124</v>
      </c>
      <c r="D7" s="30">
        <v>95</v>
      </c>
      <c r="E7" s="32">
        <v>95</v>
      </c>
      <c r="F7" s="32">
        <v>96</v>
      </c>
      <c r="G7" s="34">
        <f t="shared" si="0"/>
        <v>1.0526315789473684E-2</v>
      </c>
      <c r="H7" s="32">
        <v>96</v>
      </c>
      <c r="I7" s="35">
        <f t="shared" si="3"/>
        <v>0</v>
      </c>
      <c r="J7" s="31"/>
      <c r="K7" s="86"/>
      <c r="L7" s="106"/>
      <c r="M7" s="30">
        <f>'Lithium Ion'!D12</f>
        <v>96.039999999999992</v>
      </c>
      <c r="N7" s="20">
        <f t="shared" si="1"/>
        <v>97.050947368421049</v>
      </c>
      <c r="O7" s="20">
        <f t="shared" si="2"/>
        <v>97.050947368421049</v>
      </c>
    </row>
    <row r="8" spans="1:16" ht="39.950000000000003" customHeight="1" x14ac:dyDescent="0.35">
      <c r="A8" s="94" t="s">
        <v>164</v>
      </c>
      <c r="B8" s="29" t="s">
        <v>125</v>
      </c>
      <c r="D8" s="30">
        <v>98</v>
      </c>
      <c r="E8" s="32">
        <v>98</v>
      </c>
      <c r="F8" s="32">
        <v>98.5</v>
      </c>
      <c r="G8" s="34">
        <f t="shared" si="0"/>
        <v>5.1020408163265302E-3</v>
      </c>
      <c r="H8" s="32">
        <v>98.5</v>
      </c>
      <c r="I8" s="35">
        <f t="shared" si="3"/>
        <v>0</v>
      </c>
      <c r="J8" s="31"/>
      <c r="K8" s="86"/>
      <c r="L8" s="106" t="s">
        <v>295</v>
      </c>
      <c r="M8" s="30">
        <f>'Lithium Ion'!D13</f>
        <v>98</v>
      </c>
      <c r="N8" s="20">
        <f t="shared" si="1"/>
        <v>98.5</v>
      </c>
      <c r="O8" s="20">
        <f t="shared" si="2"/>
        <v>98.5</v>
      </c>
      <c r="P8" s="36"/>
    </row>
    <row r="9" spans="1:16" ht="39.950000000000003" customHeight="1" x14ac:dyDescent="0.35">
      <c r="A9" s="94" t="s">
        <v>165</v>
      </c>
      <c r="B9" s="29" t="s">
        <v>126</v>
      </c>
      <c r="D9" s="30">
        <v>97</v>
      </c>
      <c r="E9" s="32">
        <v>97</v>
      </c>
      <c r="F9" s="32">
        <v>97.5</v>
      </c>
      <c r="G9" s="34">
        <f t="shared" si="0"/>
        <v>5.1546391752577319E-3</v>
      </c>
      <c r="H9" s="32">
        <v>97.5</v>
      </c>
      <c r="I9" s="35">
        <f t="shared" si="3"/>
        <v>0</v>
      </c>
      <c r="J9" s="31"/>
      <c r="K9" s="86"/>
      <c r="L9" s="106"/>
      <c r="M9" s="30">
        <f>'Lithium Ion'!D14</f>
        <v>98</v>
      </c>
      <c r="N9" s="20">
        <f t="shared" si="1"/>
        <v>98.505154639175259</v>
      </c>
      <c r="O9" s="20">
        <f t="shared" si="2"/>
        <v>98.505154639175259</v>
      </c>
      <c r="P9" s="36"/>
    </row>
    <row r="10" spans="1:16" ht="80.099999999999994" customHeight="1" x14ac:dyDescent="0.35">
      <c r="A10" s="94" t="s">
        <v>221</v>
      </c>
      <c r="B10" s="29" t="s">
        <v>127</v>
      </c>
      <c r="D10" s="30">
        <v>0.1</v>
      </c>
      <c r="E10" s="32">
        <v>0.1</v>
      </c>
      <c r="F10" s="32">
        <v>0.1</v>
      </c>
      <c r="G10" s="34">
        <f t="shared" si="0"/>
        <v>0</v>
      </c>
      <c r="H10" s="32">
        <v>0.1</v>
      </c>
      <c r="I10" s="35">
        <f t="shared" si="3"/>
        <v>0</v>
      </c>
      <c r="J10" s="31"/>
      <c r="K10" s="86"/>
      <c r="L10" s="107" t="s">
        <v>296</v>
      </c>
      <c r="M10" s="30">
        <f>'Lithium Ion'!D15</f>
        <v>0.1</v>
      </c>
      <c r="N10" s="14">
        <f t="shared" si="1"/>
        <v>0.1</v>
      </c>
      <c r="O10" s="14">
        <f>N10*(1+G10)</f>
        <v>0.1</v>
      </c>
    </row>
    <row r="11" spans="1:16" ht="30" customHeight="1" x14ac:dyDescent="0.35">
      <c r="A11" s="94" t="s">
        <v>167</v>
      </c>
      <c r="B11" s="29" t="s">
        <v>128</v>
      </c>
      <c r="D11" s="30">
        <v>0.4</v>
      </c>
      <c r="E11" s="30">
        <v>0.38</v>
      </c>
      <c r="F11" s="30">
        <v>0.35</v>
      </c>
      <c r="G11" s="31">
        <f t="shared" si="0"/>
        <v>-7.8947368421052697E-2</v>
      </c>
      <c r="H11" s="37">
        <v>0.25</v>
      </c>
      <c r="I11" s="31">
        <f t="shared" ref="I11:I14" si="4">(H11-F11)/F11</f>
        <v>-0.28571428571428564</v>
      </c>
      <c r="J11" s="31"/>
      <c r="K11" s="86" t="s">
        <v>37</v>
      </c>
      <c r="L11" s="106" t="s">
        <v>297</v>
      </c>
      <c r="M11" s="30">
        <f>'Lithium Ion'!D16</f>
        <v>0.38</v>
      </c>
      <c r="N11" s="14">
        <f t="shared" si="1"/>
        <v>0.35</v>
      </c>
      <c r="O11" s="14">
        <f>N11*(1+G11)</f>
        <v>0.32236842105263153</v>
      </c>
    </row>
    <row r="12" spans="1:16" ht="30" customHeight="1" x14ac:dyDescent="0.35">
      <c r="A12" s="94" t="s">
        <v>233</v>
      </c>
      <c r="B12" s="29" t="s">
        <v>129</v>
      </c>
      <c r="D12" s="30">
        <v>0.2</v>
      </c>
      <c r="E12" s="30">
        <v>0.2</v>
      </c>
      <c r="F12" s="30">
        <v>0.1</v>
      </c>
      <c r="G12" s="35">
        <f t="shared" si="0"/>
        <v>-0.5</v>
      </c>
      <c r="H12" s="37">
        <v>0.1</v>
      </c>
      <c r="I12" s="35">
        <f t="shared" si="4"/>
        <v>0</v>
      </c>
      <c r="J12" s="31"/>
      <c r="K12" s="86"/>
      <c r="L12" s="106"/>
      <c r="M12" s="30">
        <f>'Lithium Ion'!D17</f>
        <v>0.2</v>
      </c>
      <c r="N12" s="14">
        <f t="shared" si="1"/>
        <v>0.1</v>
      </c>
      <c r="O12" s="14">
        <f>N12*(1+G12)</f>
        <v>0.05</v>
      </c>
    </row>
    <row r="13" spans="1:16" ht="80.099999999999994" customHeight="1" x14ac:dyDescent="0.35">
      <c r="A13" s="94" t="s">
        <v>169</v>
      </c>
      <c r="B13" s="29" t="s">
        <v>130</v>
      </c>
      <c r="D13" s="30">
        <v>15</v>
      </c>
      <c r="E13" s="30">
        <v>20</v>
      </c>
      <c r="F13" s="30">
        <v>25</v>
      </c>
      <c r="G13" s="31">
        <f t="shared" si="0"/>
        <v>0.25</v>
      </c>
      <c r="H13" s="37">
        <v>30</v>
      </c>
      <c r="I13" s="31">
        <f t="shared" si="4"/>
        <v>0.2</v>
      </c>
      <c r="J13" s="31"/>
      <c r="K13" s="86"/>
      <c r="L13" s="21" t="s">
        <v>298</v>
      </c>
      <c r="M13" s="30">
        <f>'Lithium Ion'!D18</f>
        <v>20</v>
      </c>
      <c r="N13" s="14">
        <f t="shared" si="1"/>
        <v>25</v>
      </c>
      <c r="O13" s="14">
        <f>N13*(1+G13)</f>
        <v>31.25</v>
      </c>
    </row>
    <row r="14" spans="1:16" ht="80.099999999999994" customHeight="1" x14ac:dyDescent="0.35">
      <c r="A14" s="94" t="s">
        <v>170</v>
      </c>
      <c r="B14" s="29" t="s">
        <v>131</v>
      </c>
      <c r="D14" s="30">
        <v>0.25</v>
      </c>
      <c r="E14" s="30">
        <v>0.2</v>
      </c>
      <c r="F14" s="30">
        <v>0.2</v>
      </c>
      <c r="G14" s="31">
        <f t="shared" si="0"/>
        <v>0</v>
      </c>
      <c r="H14" s="37">
        <v>0.2</v>
      </c>
      <c r="I14" s="31">
        <f t="shared" si="4"/>
        <v>0</v>
      </c>
      <c r="J14" s="31"/>
      <c r="K14" s="86"/>
      <c r="L14" s="21" t="s">
        <v>299</v>
      </c>
      <c r="M14" s="30">
        <f>'Lithium Ion'!D19</f>
        <v>0.2</v>
      </c>
      <c r="N14" s="14">
        <f t="shared" si="1"/>
        <v>0.2</v>
      </c>
      <c r="O14" s="14">
        <f>N14*(1+G14)</f>
        <v>0.2</v>
      </c>
    </row>
    <row r="15" spans="1:16" ht="20.100000000000001" customHeight="1" x14ac:dyDescent="0.35">
      <c r="A15" s="94" t="s">
        <v>222</v>
      </c>
      <c r="B15" s="29" t="s">
        <v>132</v>
      </c>
      <c r="D15" s="30"/>
      <c r="E15" s="30" t="s">
        <v>81</v>
      </c>
      <c r="F15" s="30" t="s">
        <v>81</v>
      </c>
      <c r="G15" s="30"/>
      <c r="H15" s="30" t="s">
        <v>81</v>
      </c>
      <c r="I15" s="30"/>
      <c r="J15" s="31"/>
      <c r="K15" s="86" t="s">
        <v>30</v>
      </c>
      <c r="L15" s="106" t="s">
        <v>249</v>
      </c>
      <c r="M15" s="30"/>
      <c r="N15" s="30"/>
      <c r="O15" s="38"/>
    </row>
    <row r="16" spans="1:16" ht="20.100000000000001" customHeight="1" x14ac:dyDescent="0.35">
      <c r="A16" s="94" t="s">
        <v>174</v>
      </c>
      <c r="B16" s="29" t="s">
        <v>133</v>
      </c>
      <c r="D16" s="30"/>
      <c r="E16" s="30" t="s">
        <v>81</v>
      </c>
      <c r="F16" s="30" t="s">
        <v>81</v>
      </c>
      <c r="G16" s="30"/>
      <c r="H16" s="30" t="s">
        <v>81</v>
      </c>
      <c r="I16" s="30"/>
      <c r="J16" s="31"/>
      <c r="K16" s="86"/>
      <c r="L16" s="106"/>
      <c r="M16" s="30"/>
      <c r="N16" s="30"/>
      <c r="O16" s="38"/>
    </row>
    <row r="17" spans="1:15" ht="50.1" customHeight="1" x14ac:dyDescent="0.35">
      <c r="A17" s="94" t="s">
        <v>223</v>
      </c>
      <c r="B17" s="29" t="s">
        <v>134</v>
      </c>
      <c r="D17" s="30"/>
      <c r="E17" s="30"/>
      <c r="F17" s="30"/>
      <c r="G17" s="30"/>
      <c r="H17" s="24"/>
      <c r="I17" s="24"/>
      <c r="J17" s="31"/>
      <c r="K17" s="86" t="s">
        <v>87</v>
      </c>
      <c r="L17" s="110" t="s">
        <v>300</v>
      </c>
      <c r="M17" s="30"/>
      <c r="N17" s="30"/>
      <c r="O17" s="38"/>
    </row>
    <row r="18" spans="1:15" ht="69.95" customHeight="1" x14ac:dyDescent="0.35">
      <c r="A18" s="94" t="s">
        <v>224</v>
      </c>
      <c r="B18" s="29" t="s">
        <v>135</v>
      </c>
      <c r="D18" s="24">
        <v>1.365</v>
      </c>
      <c r="E18" s="24">
        <v>0.79</v>
      </c>
      <c r="F18" s="24">
        <v>0.46100000000000002</v>
      </c>
      <c r="G18" s="34">
        <f t="shared" ref="G18:G30" si="5">(F18-E18)/E18</f>
        <v>-0.41645569620253164</v>
      </c>
      <c r="H18" s="24">
        <v>0.316</v>
      </c>
      <c r="I18" s="31">
        <f t="shared" ref="I18:I19" si="6">(H18-F18)/F18</f>
        <v>-0.31453362255965295</v>
      </c>
      <c r="J18" s="31"/>
      <c r="K18" s="86"/>
      <c r="L18" s="21" t="s">
        <v>301</v>
      </c>
      <c r="M18" s="37">
        <f>'Lithium Ion'!D26</f>
        <v>0.14652000000000001</v>
      </c>
      <c r="N18" s="14">
        <f t="shared" ref="N18:N30" si="7">M18*(1+G18)</f>
        <v>8.5500911392405066E-2</v>
      </c>
      <c r="O18" s="14">
        <f t="shared" ref="O18:O25" si="8">N18*(1+G18)</f>
        <v>4.9893569812530042E-2</v>
      </c>
    </row>
    <row r="19" spans="1:15" ht="50.1" customHeight="1" x14ac:dyDescent="0.35">
      <c r="A19" s="94" t="s">
        <v>225</v>
      </c>
      <c r="B19" s="29" t="s">
        <v>136</v>
      </c>
      <c r="D19" s="24">
        <v>0.32</v>
      </c>
      <c r="E19" s="24">
        <v>0.3</v>
      </c>
      <c r="F19" s="24">
        <v>0.18</v>
      </c>
      <c r="G19" s="34">
        <f t="shared" si="5"/>
        <v>-0.4</v>
      </c>
      <c r="H19" s="24">
        <v>7.0000000000000007E-2</v>
      </c>
      <c r="I19" s="34">
        <f t="shared" si="6"/>
        <v>-0.61111111111111105</v>
      </c>
      <c r="J19" s="31"/>
      <c r="K19" s="30" t="s">
        <v>37</v>
      </c>
      <c r="L19" s="21" t="s">
        <v>302</v>
      </c>
      <c r="M19" s="37">
        <f>'Lithium Ion'!D27</f>
        <v>0.29970000000000002</v>
      </c>
      <c r="N19" s="14">
        <f t="shared" si="7"/>
        <v>0.17982000000000001</v>
      </c>
      <c r="O19" s="14">
        <f t="shared" si="8"/>
        <v>0.107892</v>
      </c>
    </row>
    <row r="20" spans="1:15" ht="69.95" customHeight="1" x14ac:dyDescent="0.35">
      <c r="A20" s="94" t="s">
        <v>234</v>
      </c>
      <c r="B20" s="29" t="s">
        <v>137</v>
      </c>
      <c r="D20" s="24">
        <v>0.11</v>
      </c>
      <c r="E20" s="24">
        <v>0.1</v>
      </c>
      <c r="F20" s="24">
        <v>0.08</v>
      </c>
      <c r="G20" s="34">
        <f t="shared" si="5"/>
        <v>-0.20000000000000004</v>
      </c>
      <c r="H20" s="24">
        <v>0.04</v>
      </c>
      <c r="I20" s="34">
        <f>(H20-F20)/F20</f>
        <v>-0.5</v>
      </c>
      <c r="J20" s="31"/>
      <c r="K20" s="86" t="s">
        <v>37</v>
      </c>
      <c r="L20" s="21" t="s">
        <v>303</v>
      </c>
      <c r="M20" s="37">
        <f>'Lithium Ion'!D28</f>
        <v>0.11100000000000002</v>
      </c>
      <c r="N20" s="14">
        <f t="shared" si="7"/>
        <v>8.8800000000000004E-2</v>
      </c>
      <c r="O20" s="14">
        <f t="shared" si="8"/>
        <v>7.1039999999999992E-2</v>
      </c>
    </row>
    <row r="21" spans="1:15" ht="80.099999999999994" customHeight="1" x14ac:dyDescent="0.35">
      <c r="A21" s="94" t="s">
        <v>235</v>
      </c>
      <c r="B21" s="29" t="s">
        <v>138</v>
      </c>
      <c r="D21" s="30">
        <v>0.54</v>
      </c>
      <c r="E21" s="30">
        <v>0.54</v>
      </c>
      <c r="F21" s="30">
        <v>0.54</v>
      </c>
      <c r="G21" s="31">
        <f t="shared" si="5"/>
        <v>0</v>
      </c>
      <c r="H21" s="30">
        <v>0.54</v>
      </c>
      <c r="I21" s="31">
        <f t="shared" ref="I21:I30" si="9">(H21-F21)/F21</f>
        <v>0</v>
      </c>
      <c r="J21" s="31"/>
      <c r="K21" s="86"/>
      <c r="L21" s="21" t="s">
        <v>304</v>
      </c>
      <c r="M21" s="37">
        <f>'Lithium Ion'!D29</f>
        <v>0.54</v>
      </c>
      <c r="N21" s="14">
        <f t="shared" si="7"/>
        <v>0.54</v>
      </c>
      <c r="O21" s="14">
        <f t="shared" si="8"/>
        <v>0.54</v>
      </c>
    </row>
    <row r="22" spans="1:15" ht="69.95" customHeight="1" x14ac:dyDescent="0.35">
      <c r="A22" s="94" t="s">
        <v>226</v>
      </c>
      <c r="B22" s="29" t="s">
        <v>139</v>
      </c>
      <c r="D22" s="30">
        <v>2.1</v>
      </c>
      <c r="E22" s="30">
        <v>2</v>
      </c>
      <c r="F22" s="30">
        <v>1.8</v>
      </c>
      <c r="G22" s="31">
        <f t="shared" si="5"/>
        <v>-9.9999999999999978E-2</v>
      </c>
      <c r="H22" s="37">
        <v>1.6</v>
      </c>
      <c r="I22" s="31">
        <f t="shared" si="9"/>
        <v>-0.11111111111111108</v>
      </c>
      <c r="J22" s="31"/>
      <c r="K22" s="86"/>
      <c r="L22" s="109" t="s">
        <v>305</v>
      </c>
      <c r="M22" s="37">
        <f>'Lithium Ion'!D30</f>
        <v>2.2200000000000002</v>
      </c>
      <c r="N22" s="14">
        <f t="shared" si="7"/>
        <v>1.9980000000000002</v>
      </c>
      <c r="O22" s="14">
        <f t="shared" si="8"/>
        <v>1.7982000000000002</v>
      </c>
    </row>
    <row r="23" spans="1:15" ht="69.95" customHeight="1" x14ac:dyDescent="0.35">
      <c r="A23" s="94" t="s">
        <v>231</v>
      </c>
      <c r="B23" s="29" t="s">
        <v>140</v>
      </c>
      <c r="D23" s="24">
        <v>0.41799999999999998</v>
      </c>
      <c r="E23" s="24">
        <v>0.23200000000000001</v>
      </c>
      <c r="F23" s="24">
        <v>0.14199999999999999</v>
      </c>
      <c r="G23" s="34">
        <f t="shared" si="5"/>
        <v>-0.38793103448275873</v>
      </c>
      <c r="H23" s="24">
        <v>7.4999999999999997E-2</v>
      </c>
      <c r="I23" s="34">
        <f t="shared" si="9"/>
        <v>-0.47183098591549294</v>
      </c>
      <c r="J23" s="31"/>
      <c r="K23" s="86"/>
      <c r="L23" s="109" t="s">
        <v>306</v>
      </c>
      <c r="M23" s="37">
        <f>'Lithium Ion'!D32</f>
        <v>0.25752000000000003</v>
      </c>
      <c r="N23" s="14">
        <f t="shared" si="7"/>
        <v>0.15762000000000001</v>
      </c>
      <c r="O23" s="14">
        <f t="shared" si="8"/>
        <v>9.6474310344827591E-2</v>
      </c>
    </row>
    <row r="24" spans="1:15" ht="69.95" customHeight="1" x14ac:dyDescent="0.35">
      <c r="A24" s="94" t="s">
        <v>232</v>
      </c>
      <c r="B24" s="29" t="s">
        <v>141</v>
      </c>
      <c r="D24" s="24">
        <v>0.28999999999999998</v>
      </c>
      <c r="E24" s="24">
        <v>0.27</v>
      </c>
      <c r="F24" s="24">
        <v>0.16</v>
      </c>
      <c r="G24" s="34">
        <f t="shared" si="5"/>
        <v>-0.40740740740740744</v>
      </c>
      <c r="H24" s="24">
        <v>0.06</v>
      </c>
      <c r="I24" s="34">
        <f t="shared" si="9"/>
        <v>-0.625</v>
      </c>
      <c r="J24" s="31"/>
      <c r="K24" s="86"/>
      <c r="L24" s="109" t="s">
        <v>307</v>
      </c>
      <c r="M24" s="37">
        <f>'Lithium Ion'!D33</f>
        <v>0.29970000000000002</v>
      </c>
      <c r="N24" s="14">
        <f t="shared" si="7"/>
        <v>0.17760000000000001</v>
      </c>
      <c r="O24" s="14">
        <f t="shared" si="8"/>
        <v>0.10524444444444445</v>
      </c>
    </row>
    <row r="25" spans="1:15" ht="69.95" customHeight="1" x14ac:dyDescent="0.35">
      <c r="A25" s="94" t="s">
        <v>236</v>
      </c>
      <c r="B25" s="29" t="s">
        <v>142</v>
      </c>
      <c r="D25" s="24">
        <v>0.39</v>
      </c>
      <c r="E25" s="24">
        <v>0.33</v>
      </c>
      <c r="F25" s="24">
        <v>0.2</v>
      </c>
      <c r="G25" s="34">
        <f t="shared" si="5"/>
        <v>-0.39393939393939392</v>
      </c>
      <c r="H25" s="24">
        <v>0.08</v>
      </c>
      <c r="I25" s="34">
        <f t="shared" si="9"/>
        <v>-0.6</v>
      </c>
      <c r="J25" s="31"/>
      <c r="K25" s="86"/>
      <c r="L25" s="109" t="s">
        <v>308</v>
      </c>
      <c r="M25" s="37">
        <f>'Lithium Ion'!D34</f>
        <v>0.36630000000000007</v>
      </c>
      <c r="N25" s="14">
        <f t="shared" si="7"/>
        <v>0.22200000000000006</v>
      </c>
      <c r="O25" s="14">
        <f t="shared" si="8"/>
        <v>0.13454545454545458</v>
      </c>
    </row>
    <row r="26" spans="1:15" ht="69.95" customHeight="1" x14ac:dyDescent="0.35">
      <c r="A26" s="94" t="s">
        <v>227</v>
      </c>
      <c r="B26" s="29" t="s">
        <v>49</v>
      </c>
      <c r="D26" s="39">
        <v>6000</v>
      </c>
      <c r="E26" s="39">
        <v>14000</v>
      </c>
      <c r="F26" s="39">
        <v>30000</v>
      </c>
      <c r="G26" s="34">
        <f t="shared" si="5"/>
        <v>1.1428571428571428</v>
      </c>
      <c r="H26" s="39">
        <v>50000</v>
      </c>
      <c r="I26" s="34">
        <f t="shared" si="9"/>
        <v>0.66666666666666663</v>
      </c>
      <c r="J26" s="31"/>
      <c r="K26" s="86"/>
      <c r="L26" s="21" t="s">
        <v>309</v>
      </c>
      <c r="M26" s="39">
        <f>'Lithium Ion'!D20</f>
        <v>14000</v>
      </c>
      <c r="N26" s="20">
        <f t="shared" si="7"/>
        <v>30000</v>
      </c>
      <c r="O26" s="20">
        <f>N26*(1+I26)</f>
        <v>49999.999999999993</v>
      </c>
    </row>
    <row r="27" spans="1:15" ht="50.1" customHeight="1" x14ac:dyDescent="0.35">
      <c r="A27" s="103" t="s">
        <v>228</v>
      </c>
      <c r="B27" s="29" t="s">
        <v>143</v>
      </c>
      <c r="D27" s="39">
        <v>285</v>
      </c>
      <c r="E27" s="39">
        <v>315</v>
      </c>
      <c r="F27" s="39">
        <v>417</v>
      </c>
      <c r="G27" s="34">
        <f t="shared" si="5"/>
        <v>0.32380952380952382</v>
      </c>
      <c r="H27" s="39">
        <v>627</v>
      </c>
      <c r="I27" s="34">
        <f t="shared" si="9"/>
        <v>0.50359712230215825</v>
      </c>
      <c r="J27" s="31"/>
      <c r="K27" s="86"/>
      <c r="L27" s="107" t="s">
        <v>310</v>
      </c>
      <c r="M27" s="39">
        <f>'Lithium Ion'!D35</f>
        <v>57.692307692307693</v>
      </c>
      <c r="N27" s="20">
        <f t="shared" si="7"/>
        <v>76.373626373626379</v>
      </c>
      <c r="O27" s="20">
        <f>N27*(1+G27)</f>
        <v>101.10413396127683</v>
      </c>
    </row>
    <row r="28" spans="1:15" ht="50.1" customHeight="1" x14ac:dyDescent="0.35">
      <c r="A28" s="94" t="s">
        <v>237</v>
      </c>
      <c r="B28" s="29" t="s">
        <v>53</v>
      </c>
      <c r="D28" s="39">
        <v>354</v>
      </c>
      <c r="E28" s="39">
        <v>390</v>
      </c>
      <c r="F28" s="39">
        <v>519</v>
      </c>
      <c r="G28" s="34">
        <f t="shared" si="5"/>
        <v>0.33076923076923076</v>
      </c>
      <c r="H28" s="39">
        <v>780</v>
      </c>
      <c r="I28" s="34">
        <f t="shared" si="9"/>
        <v>0.50289017341040465</v>
      </c>
      <c r="J28" s="31"/>
      <c r="K28" s="86"/>
      <c r="L28" s="109" t="s">
        <v>311</v>
      </c>
      <c r="M28" s="39">
        <f>'Lithium Ion'!D36</f>
        <v>68.901330275635885</v>
      </c>
      <c r="N28" s="20">
        <f t="shared" si="7"/>
        <v>91.691770289884673</v>
      </c>
      <c r="O28" s="20">
        <f>N28*(1+G28)</f>
        <v>122.02058661653882</v>
      </c>
    </row>
    <row r="29" spans="1:15" ht="35.1" customHeight="1" x14ac:dyDescent="0.35">
      <c r="A29" s="94" t="s">
        <v>229</v>
      </c>
      <c r="B29" s="29" t="s">
        <v>54</v>
      </c>
      <c r="D29" s="39">
        <v>95</v>
      </c>
      <c r="E29" s="39">
        <v>105</v>
      </c>
      <c r="F29" s="39">
        <v>139</v>
      </c>
      <c r="G29" s="34">
        <f t="shared" si="5"/>
        <v>0.32380952380952382</v>
      </c>
      <c r="H29" s="39">
        <v>209</v>
      </c>
      <c r="I29" s="34">
        <f t="shared" si="9"/>
        <v>0.50359712230215825</v>
      </c>
      <c r="J29" s="31"/>
      <c r="K29" s="86"/>
      <c r="L29" s="106" t="s">
        <v>312</v>
      </c>
      <c r="M29" s="39">
        <f>'Lithium Ion'!D37</f>
        <v>115.38461538461539</v>
      </c>
      <c r="N29" s="20">
        <f t="shared" si="7"/>
        <v>152.74725274725276</v>
      </c>
      <c r="O29" s="20">
        <f>N29*(1+G29)</f>
        <v>202.20826792255366</v>
      </c>
    </row>
    <row r="30" spans="1:15" ht="35.1" customHeight="1" x14ac:dyDescent="0.35">
      <c r="A30" s="94" t="s">
        <v>238</v>
      </c>
      <c r="B30" s="29" t="s">
        <v>55</v>
      </c>
      <c r="D30" s="39">
        <v>118</v>
      </c>
      <c r="E30" s="39">
        <v>130</v>
      </c>
      <c r="F30" s="39">
        <v>173</v>
      </c>
      <c r="G30" s="34">
        <f t="shared" si="5"/>
        <v>0.33076923076923076</v>
      </c>
      <c r="H30" s="39">
        <v>260</v>
      </c>
      <c r="I30" s="34">
        <f t="shared" si="9"/>
        <v>0.50289017341040465</v>
      </c>
      <c r="J30" s="31"/>
      <c r="K30" s="86"/>
      <c r="L30" s="106"/>
      <c r="M30" s="39">
        <f>'Lithium Ion'!D38</f>
        <v>137.80266055127177</v>
      </c>
      <c r="N30" s="20">
        <f t="shared" si="7"/>
        <v>183.38354057976935</v>
      </c>
      <c r="O30" s="20">
        <f>N30*(1+G30)</f>
        <v>244.04117323307764</v>
      </c>
    </row>
    <row r="31" spans="1:15" x14ac:dyDescent="0.35">
      <c r="C31" s="40"/>
    </row>
    <row r="32" spans="1:15" x14ac:dyDescent="0.35">
      <c r="C32" s="40"/>
      <c r="D32" s="27"/>
      <c r="E32" s="43"/>
      <c r="F32" s="43"/>
      <c r="G32" s="43"/>
      <c r="H32" s="43"/>
      <c r="I32" s="43"/>
      <c r="J32" s="43"/>
      <c r="K32" s="43"/>
    </row>
    <row r="33" spans="3:12" x14ac:dyDescent="0.35">
      <c r="C33" s="40"/>
      <c r="D33" s="27"/>
      <c r="E33" s="111" t="s">
        <v>154</v>
      </c>
      <c r="F33" s="112"/>
      <c r="G33" s="112"/>
      <c r="H33" s="112"/>
      <c r="I33" s="112"/>
      <c r="J33" s="112"/>
      <c r="K33" s="113"/>
    </row>
    <row r="34" spans="3:12" ht="54" x14ac:dyDescent="0.35">
      <c r="D34" s="27"/>
      <c r="E34" s="48" t="s">
        <v>245</v>
      </c>
      <c r="F34" s="48" t="s">
        <v>246</v>
      </c>
      <c r="G34" s="48"/>
      <c r="H34" s="48"/>
      <c r="I34" s="48"/>
      <c r="J34" s="48"/>
      <c r="K34" s="48" t="s">
        <v>247</v>
      </c>
    </row>
    <row r="35" spans="3:12" x14ac:dyDescent="0.35">
      <c r="D35" s="27"/>
      <c r="E35" s="48">
        <v>1170</v>
      </c>
      <c r="F35" s="48">
        <v>0.41499999999999998</v>
      </c>
      <c r="G35" s="48" t="s">
        <v>82</v>
      </c>
      <c r="H35" s="48">
        <f>F35*F36*F37</f>
        <v>0.97966178199999998</v>
      </c>
      <c r="I35" s="48" t="s">
        <v>83</v>
      </c>
      <c r="J35" s="48"/>
      <c r="K35" s="48">
        <v>135</v>
      </c>
      <c r="L35" s="7" t="s">
        <v>84</v>
      </c>
    </row>
    <row r="36" spans="3:12" x14ac:dyDescent="0.35">
      <c r="E36" s="48"/>
      <c r="F36" s="48">
        <v>1.0669999999999999</v>
      </c>
      <c r="G36" s="48" t="s">
        <v>85</v>
      </c>
      <c r="H36" s="48"/>
      <c r="I36" s="48"/>
      <c r="J36" s="48"/>
      <c r="K36" s="48"/>
    </row>
    <row r="37" spans="3:12" x14ac:dyDescent="0.35">
      <c r="E37" s="48"/>
      <c r="F37" s="48">
        <v>2.2124000000000001</v>
      </c>
      <c r="G37" s="48" t="s">
        <v>86</v>
      </c>
      <c r="H37" s="48"/>
      <c r="I37" s="48"/>
      <c r="J37" s="48"/>
      <c r="K37" s="48"/>
    </row>
    <row r="38" spans="3:12" x14ac:dyDescent="0.35">
      <c r="E38" s="25" t="s">
        <v>248</v>
      </c>
    </row>
    <row r="61" spans="1:12" s="10" customFormat="1" x14ac:dyDescent="0.35">
      <c r="A61" s="6"/>
      <c r="C61" s="117" t="s">
        <v>15</v>
      </c>
      <c r="D61" s="115" t="s">
        <v>56</v>
      </c>
      <c r="L61" s="11"/>
    </row>
    <row r="62" spans="1:12" s="10" customFormat="1" x14ac:dyDescent="0.35">
      <c r="A62" s="6"/>
      <c r="C62" s="117" t="s">
        <v>273</v>
      </c>
      <c r="D62" s="115" t="s">
        <v>57</v>
      </c>
      <c r="L62" s="11"/>
    </row>
    <row r="63" spans="1:12" s="10" customFormat="1" x14ac:dyDescent="0.35">
      <c r="A63" s="6"/>
      <c r="C63" s="117" t="s">
        <v>274</v>
      </c>
      <c r="D63" s="115" t="s">
        <v>58</v>
      </c>
      <c r="L63" s="11"/>
    </row>
    <row r="64" spans="1:12" s="10" customFormat="1" ht="15" x14ac:dyDescent="0.3">
      <c r="C64" s="117" t="s">
        <v>275</v>
      </c>
      <c r="D64" s="115" t="s">
        <v>59</v>
      </c>
      <c r="L64" s="11"/>
    </row>
    <row r="65" spans="3:12" s="10" customFormat="1" ht="15" x14ac:dyDescent="0.3">
      <c r="C65" s="117" t="s">
        <v>276</v>
      </c>
      <c r="D65" s="115" t="s">
        <v>60</v>
      </c>
      <c r="L65" s="11"/>
    </row>
    <row r="66" spans="3:12" s="10" customFormat="1" ht="15" x14ac:dyDescent="0.3">
      <c r="C66" s="117" t="s">
        <v>277</v>
      </c>
      <c r="D66" s="115" t="s">
        <v>61</v>
      </c>
      <c r="L66" s="11"/>
    </row>
    <row r="67" spans="3:12" s="10" customFormat="1" ht="15" x14ac:dyDescent="0.3">
      <c r="C67" s="117" t="s">
        <v>278</v>
      </c>
      <c r="D67" s="115" t="s">
        <v>62</v>
      </c>
      <c r="L67" s="11"/>
    </row>
    <row r="68" spans="3:12" s="10" customFormat="1" ht="15" x14ac:dyDescent="0.3">
      <c r="C68" s="117" t="s">
        <v>279</v>
      </c>
      <c r="D68" s="115" t="s">
        <v>63</v>
      </c>
      <c r="L68" s="11"/>
    </row>
    <row r="69" spans="3:12" s="10" customFormat="1" ht="15" x14ac:dyDescent="0.3">
      <c r="C69" s="117" t="s">
        <v>280</v>
      </c>
      <c r="D69" s="115" t="s">
        <v>64</v>
      </c>
      <c r="L69" s="11"/>
    </row>
    <row r="70" spans="3:12" s="10" customFormat="1" ht="15" x14ac:dyDescent="0.3">
      <c r="C70" s="117" t="s">
        <v>281</v>
      </c>
      <c r="D70" s="115" t="s">
        <v>65</v>
      </c>
      <c r="L70" s="11"/>
    </row>
    <row r="71" spans="3:12" s="10" customFormat="1" ht="15" x14ac:dyDescent="0.3">
      <c r="C71" s="117" t="s">
        <v>25</v>
      </c>
      <c r="D71" s="115" t="s">
        <v>66</v>
      </c>
      <c r="L71" s="11"/>
    </row>
    <row r="72" spans="3:12" s="10" customFormat="1" ht="15" x14ac:dyDescent="0.3">
      <c r="C72" s="117" t="s">
        <v>282</v>
      </c>
      <c r="D72" s="115" t="s">
        <v>67</v>
      </c>
      <c r="L72" s="11"/>
    </row>
    <row r="73" spans="3:12" s="10" customFormat="1" ht="15" x14ac:dyDescent="0.3">
      <c r="C73" s="117" t="s">
        <v>283</v>
      </c>
      <c r="D73" s="115" t="s">
        <v>68</v>
      </c>
      <c r="L73" s="11"/>
    </row>
    <row r="74" spans="3:12" s="10" customFormat="1" ht="15" x14ac:dyDescent="0.3">
      <c r="C74" s="117" t="s">
        <v>35</v>
      </c>
      <c r="D74" s="115" t="s">
        <v>69</v>
      </c>
      <c r="L74" s="11"/>
    </row>
    <row r="75" spans="3:12" s="10" customFormat="1" ht="15" x14ac:dyDescent="0.3">
      <c r="C75" s="117" t="s">
        <v>284</v>
      </c>
      <c r="D75" s="115" t="s">
        <v>70</v>
      </c>
      <c r="L75" s="11"/>
    </row>
    <row r="76" spans="3:12" s="10" customFormat="1" ht="15" x14ac:dyDescent="0.3">
      <c r="C76" s="117" t="s">
        <v>285</v>
      </c>
      <c r="D76" s="115" t="s">
        <v>71</v>
      </c>
      <c r="L76" s="11"/>
    </row>
    <row r="77" spans="3:12" s="10" customFormat="1" ht="15" x14ac:dyDescent="0.3">
      <c r="C77" s="117" t="s">
        <v>286</v>
      </c>
      <c r="D77" s="115" t="s">
        <v>72</v>
      </c>
      <c r="L77" s="11"/>
    </row>
    <row r="78" spans="3:12" s="10" customFormat="1" ht="15" x14ac:dyDescent="0.3">
      <c r="C78" s="117" t="s">
        <v>287</v>
      </c>
      <c r="D78" s="115" t="s">
        <v>73</v>
      </c>
      <c r="L78" s="11"/>
    </row>
    <row r="79" spans="3:12" s="10" customFormat="1" ht="15" x14ac:dyDescent="0.3">
      <c r="C79" s="117" t="s">
        <v>30</v>
      </c>
      <c r="D79" s="115" t="s">
        <v>74</v>
      </c>
      <c r="L79" s="11"/>
    </row>
    <row r="80" spans="3:12" s="10" customFormat="1" ht="15" x14ac:dyDescent="0.3">
      <c r="C80" s="117" t="s">
        <v>288</v>
      </c>
      <c r="D80" s="115" t="s">
        <v>75</v>
      </c>
      <c r="L80" s="11"/>
    </row>
    <row r="81" spans="1:12" s="10" customFormat="1" ht="15" x14ac:dyDescent="0.3">
      <c r="C81" s="117" t="s">
        <v>43</v>
      </c>
      <c r="D81" s="115" t="s">
        <v>76</v>
      </c>
      <c r="L81" s="11"/>
    </row>
    <row r="82" spans="1:12" s="10" customFormat="1" ht="15" x14ac:dyDescent="0.3">
      <c r="C82" s="117" t="s">
        <v>289</v>
      </c>
      <c r="D82" s="115" t="s">
        <v>77</v>
      </c>
      <c r="L82" s="11"/>
    </row>
    <row r="83" spans="1:12" s="10" customFormat="1" ht="15" x14ac:dyDescent="0.3">
      <c r="C83" s="117" t="s">
        <v>37</v>
      </c>
      <c r="D83" s="115" t="s">
        <v>78</v>
      </c>
      <c r="L83" s="11"/>
    </row>
    <row r="84" spans="1:12" s="10" customFormat="1" ht="15" x14ac:dyDescent="0.3">
      <c r="C84" s="117" t="s">
        <v>87</v>
      </c>
      <c r="D84" s="116" t="s">
        <v>110</v>
      </c>
      <c r="L84" s="11"/>
    </row>
    <row r="85" spans="1:12" x14ac:dyDescent="0.35">
      <c r="A85" s="10"/>
    </row>
    <row r="86" spans="1:12" x14ac:dyDescent="0.35">
      <c r="A86" s="10"/>
    </row>
    <row r="87" spans="1:12" x14ac:dyDescent="0.35">
      <c r="A87" s="10"/>
    </row>
  </sheetData>
  <mergeCells count="14">
    <mergeCell ref="K17:K18"/>
    <mergeCell ref="L6:L7"/>
    <mergeCell ref="L8:L9"/>
    <mergeCell ref="M1:O1"/>
    <mergeCell ref="E33:K33"/>
    <mergeCell ref="K11:K14"/>
    <mergeCell ref="K15:K16"/>
    <mergeCell ref="L15:L16"/>
    <mergeCell ref="L29:L30"/>
    <mergeCell ref="K20:K30"/>
    <mergeCell ref="L11:L12"/>
    <mergeCell ref="L3:L5"/>
    <mergeCell ref="K3:K10"/>
    <mergeCell ref="L1:L2"/>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0000000-0003-0000-0100-000000000000}">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Data!D3:I3</xm:f>
              <xm:sqref>J3</xm:sqref>
            </x14:sparkline>
            <x14:sparkline>
              <xm:f>Data!D4:I4</xm:f>
              <xm:sqref>J4</xm:sqref>
            </x14:sparkline>
            <x14:sparkline>
              <xm:f>Data!D5:I5</xm:f>
              <xm:sqref>J5</xm:sqref>
            </x14:sparkline>
            <x14:sparkline>
              <xm:f>Data!D6:I6</xm:f>
              <xm:sqref>J6</xm:sqref>
            </x14:sparkline>
            <x14:sparkline>
              <xm:f>Data!D7:I7</xm:f>
              <xm:sqref>J7</xm:sqref>
            </x14:sparkline>
            <x14:sparkline>
              <xm:f>Data!D8:I8</xm:f>
              <xm:sqref>J8</xm:sqref>
            </x14:sparkline>
            <x14:sparkline>
              <xm:f>Data!D9:I9</xm:f>
              <xm:sqref>J9</xm:sqref>
            </x14:sparkline>
            <x14:sparkline>
              <xm:f>Data!D10:I10</xm:f>
              <xm:sqref>J10</xm:sqref>
            </x14:sparkline>
            <x14:sparkline>
              <xm:f>Data!D11:I11</xm:f>
              <xm:sqref>J11</xm:sqref>
            </x14:sparkline>
            <x14:sparkline>
              <xm:f>Data!D12:I12</xm:f>
              <xm:sqref>J12</xm:sqref>
            </x14:sparkline>
            <x14:sparkline>
              <xm:f>Data!D13:I13</xm:f>
              <xm:sqref>J13</xm:sqref>
            </x14:sparkline>
            <x14:sparkline>
              <xm:f>Data!D14:I14</xm:f>
              <xm:sqref>J14</xm:sqref>
            </x14:sparkline>
            <x14:sparkline>
              <xm:f>Data!D15:I15</xm:f>
              <xm:sqref>J15</xm:sqref>
            </x14:sparkline>
            <x14:sparkline>
              <xm:f>Data!D16:I16</xm:f>
              <xm:sqref>J16</xm:sqref>
            </x14:sparkline>
            <x14:sparkline>
              <xm:f>Data!D17:I17</xm:f>
              <xm:sqref>J17</xm:sqref>
            </x14:sparkline>
            <x14:sparkline>
              <xm:f>Data!D18:I18</xm:f>
              <xm:sqref>J18</xm:sqref>
            </x14:sparkline>
            <x14:sparkline>
              <xm:f>Data!D19:I19</xm:f>
              <xm:sqref>J19</xm:sqref>
            </x14:sparkline>
            <x14:sparkline>
              <xm:f>Data!D20:I20</xm:f>
              <xm:sqref>J20</xm:sqref>
            </x14:sparkline>
            <x14:sparkline>
              <xm:f>Data!D21:I21</xm:f>
              <xm:sqref>J21</xm:sqref>
            </x14:sparkline>
            <x14:sparkline>
              <xm:f>Data!D22:I22</xm:f>
              <xm:sqref>J22</xm:sqref>
            </x14:sparkline>
            <x14:sparkline>
              <xm:f>Data!D23:I23</xm:f>
              <xm:sqref>J23</xm:sqref>
            </x14:sparkline>
            <x14:sparkline>
              <xm:f>Data!D24:I24</xm:f>
              <xm:sqref>J24</xm:sqref>
            </x14:sparkline>
            <x14:sparkline>
              <xm:f>Data!D25:I25</xm:f>
              <xm:sqref>J25</xm:sqref>
            </x14:sparkline>
            <x14:sparkline>
              <xm:f>Data!D26:I26</xm:f>
              <xm:sqref>J26</xm:sqref>
            </x14:sparkline>
            <x14:sparkline>
              <xm:f>Data!D27:I27</xm:f>
              <xm:sqref>J27</xm:sqref>
            </x14:sparkline>
            <x14:sparkline>
              <xm:f>Data!D28:I28</xm:f>
              <xm:sqref>J28</xm:sqref>
            </x14:sparkline>
            <x14:sparkline>
              <xm:f>Data!D29:I29</xm:f>
              <xm:sqref>J29</xm:sqref>
            </x14:sparkline>
            <x14:sparkline>
              <xm:f>Data!D30:I30</xm:f>
              <xm:sqref>J30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54"/>
  <sheetViews>
    <sheetView tabSelected="1" zoomScale="78" zoomScaleNormal="78" workbookViewId="0">
      <pane xSplit="3" ySplit="2" topLeftCell="D18" activePane="bottomRight" state="frozen"/>
      <selection pane="topRight" activeCell="B1" sqref="B1"/>
      <selection pane="bottomLeft" activeCell="A3" sqref="A3"/>
      <selection pane="bottomRight" activeCell="D29" sqref="D29:F29"/>
    </sheetView>
  </sheetViews>
  <sheetFormatPr baseColWidth="10" defaultColWidth="10.28515625" defaultRowHeight="18" x14ac:dyDescent="0.35"/>
  <cols>
    <col min="1" max="1" width="75.42578125" style="6" customWidth="1"/>
    <col min="2" max="2" width="64.28515625" style="6" hidden="1" customWidth="1"/>
    <col min="3" max="3" width="5.28515625" style="6" customWidth="1"/>
    <col min="4" max="11" width="9.85546875" style="6" customWidth="1"/>
    <col min="12" max="12" width="13.42578125" style="6" customWidth="1"/>
    <col min="13" max="18" width="9.85546875" style="6" customWidth="1"/>
    <col min="19" max="19" width="10.28515625" style="6"/>
    <col min="20" max="20" width="10.28515625" style="6" customWidth="1"/>
    <col min="21" max="22" width="12.7109375" style="6" customWidth="1"/>
    <col min="23" max="23" width="10.28515625" style="6" customWidth="1"/>
    <col min="24" max="25" width="12.7109375" style="6" customWidth="1"/>
    <col min="26" max="26" width="10.28515625" style="6" customWidth="1"/>
    <col min="27" max="28" width="12.7109375" style="6" customWidth="1"/>
    <col min="29" max="29" width="23.7109375" style="6" customWidth="1"/>
    <col min="30" max="16384" width="10.28515625" style="6"/>
  </cols>
  <sheetData>
    <row r="1" spans="1:29" ht="30.75" customHeight="1" x14ac:dyDescent="0.35">
      <c r="C1" s="41"/>
      <c r="D1" s="41"/>
      <c r="E1" s="41"/>
      <c r="F1" s="41"/>
      <c r="G1" s="41"/>
      <c r="H1" s="90" t="s">
        <v>257</v>
      </c>
      <c r="I1" s="90"/>
      <c r="J1" s="90" t="s">
        <v>258</v>
      </c>
      <c r="K1" s="90"/>
      <c r="L1" s="44"/>
      <c r="M1" s="90" t="s">
        <v>259</v>
      </c>
      <c r="N1" s="90"/>
      <c r="O1" s="90" t="s">
        <v>260</v>
      </c>
      <c r="P1" s="90"/>
      <c r="Q1" s="90" t="s">
        <v>261</v>
      </c>
      <c r="R1" s="90"/>
      <c r="S1" s="18"/>
      <c r="T1" s="45" t="s">
        <v>262</v>
      </c>
      <c r="U1" s="45" t="s">
        <v>264</v>
      </c>
      <c r="V1" s="45" t="s">
        <v>263</v>
      </c>
      <c r="W1" s="45" t="s">
        <v>262</v>
      </c>
      <c r="X1" s="79" t="s">
        <v>264</v>
      </c>
      <c r="Y1" s="79" t="s">
        <v>263</v>
      </c>
      <c r="Z1" s="45" t="s">
        <v>262</v>
      </c>
      <c r="AA1" s="79" t="s">
        <v>264</v>
      </c>
      <c r="AB1" s="79" t="s">
        <v>263</v>
      </c>
      <c r="AC1" s="45" t="s">
        <v>265</v>
      </c>
    </row>
    <row r="2" spans="1:29" ht="20.100000000000001" customHeight="1" x14ac:dyDescent="0.35">
      <c r="A2" s="118" t="s">
        <v>220</v>
      </c>
      <c r="B2" s="16" t="s">
        <v>0</v>
      </c>
      <c r="D2" s="47" t="s">
        <v>89</v>
      </c>
      <c r="E2" s="47">
        <v>2020</v>
      </c>
      <c r="F2" s="47">
        <v>2030</v>
      </c>
      <c r="G2" s="47">
        <v>2050</v>
      </c>
      <c r="H2" s="48" t="s">
        <v>198</v>
      </c>
      <c r="I2" s="41" t="s">
        <v>199</v>
      </c>
      <c r="J2" s="41" t="s">
        <v>198</v>
      </c>
      <c r="K2" s="41" t="s">
        <v>199</v>
      </c>
      <c r="L2" s="48" t="s">
        <v>241</v>
      </c>
      <c r="M2" s="41" t="s">
        <v>198</v>
      </c>
      <c r="N2" s="41" t="s">
        <v>199</v>
      </c>
      <c r="O2" s="41" t="s">
        <v>198</v>
      </c>
      <c r="P2" s="41" t="s">
        <v>199</v>
      </c>
      <c r="Q2" s="41" t="s">
        <v>198</v>
      </c>
      <c r="R2" s="41" t="s">
        <v>199</v>
      </c>
      <c r="S2" s="18"/>
      <c r="T2" s="46">
        <v>2020</v>
      </c>
      <c r="U2" s="49">
        <f>M3</f>
        <v>-0.16666666666666666</v>
      </c>
      <c r="V2" s="50">
        <f>N3</f>
        <v>0.5</v>
      </c>
      <c r="W2" s="46">
        <v>2020</v>
      </c>
      <c r="X2" s="49">
        <f>M4</f>
        <v>-0.1111111111111111</v>
      </c>
      <c r="Y2" s="49">
        <f>N4</f>
        <v>0.16666666666666666</v>
      </c>
      <c r="Z2" s="46">
        <v>2020</v>
      </c>
      <c r="AA2" s="49">
        <f>M5</f>
        <v>-1.098901098901099E-2</v>
      </c>
      <c r="AB2" s="49">
        <f>N5</f>
        <v>1.098901098901099E-2</v>
      </c>
      <c r="AC2" s="91" t="s">
        <v>266</v>
      </c>
    </row>
    <row r="3" spans="1:29" ht="20.100000000000001" customHeight="1" x14ac:dyDescent="0.35">
      <c r="A3" s="99" t="s">
        <v>181</v>
      </c>
      <c r="B3" s="16" t="s">
        <v>120</v>
      </c>
      <c r="D3" s="22" t="s">
        <v>90</v>
      </c>
      <c r="E3" s="51">
        <v>6</v>
      </c>
      <c r="F3" s="51">
        <v>7</v>
      </c>
      <c r="G3" s="51">
        <v>8</v>
      </c>
      <c r="H3" s="51">
        <v>5</v>
      </c>
      <c r="I3" s="51">
        <v>9</v>
      </c>
      <c r="J3" s="51">
        <v>7</v>
      </c>
      <c r="K3" s="51">
        <v>12</v>
      </c>
      <c r="L3" s="89" t="s">
        <v>37</v>
      </c>
      <c r="M3" s="17">
        <f>(H3-$E$3)/$E$3</f>
        <v>-0.16666666666666666</v>
      </c>
      <c r="N3" s="17">
        <f>(I3-$E$3)/$E$3</f>
        <v>0.5</v>
      </c>
      <c r="O3" s="17">
        <f>(0.001389*F2)-2.972222</f>
        <v>-0.15255200000000002</v>
      </c>
      <c r="P3" s="52">
        <f>N3</f>
        <v>0.5</v>
      </c>
      <c r="Q3" s="17">
        <f>(J3-$G$3)/$G$3</f>
        <v>-0.125</v>
      </c>
      <c r="R3" s="17">
        <f>(K3-$G$3)/$G$3</f>
        <v>0.5</v>
      </c>
      <c r="S3" s="19"/>
      <c r="T3" s="46">
        <v>2050</v>
      </c>
      <c r="U3" s="49">
        <f>Q3</f>
        <v>-0.125</v>
      </c>
      <c r="V3" s="50">
        <f>R3</f>
        <v>0.5</v>
      </c>
      <c r="W3" s="46">
        <v>2050</v>
      </c>
      <c r="X3" s="49">
        <f>Q4</f>
        <v>-8.3333333333333329E-2</v>
      </c>
      <c r="Y3" s="49">
        <f>R4</f>
        <v>0.16666666666666666</v>
      </c>
      <c r="Z3" s="46">
        <v>2050</v>
      </c>
      <c r="AA3" s="49">
        <f>Q5</f>
        <v>-1.0869565217391304E-2</v>
      </c>
      <c r="AB3" s="49">
        <f>R5</f>
        <v>2.1739130434782608E-2</v>
      </c>
      <c r="AC3" s="92"/>
    </row>
    <row r="4" spans="1:29" ht="20.100000000000001" customHeight="1" x14ac:dyDescent="0.35">
      <c r="A4" s="99" t="s">
        <v>187</v>
      </c>
      <c r="B4" s="16" t="s">
        <v>121</v>
      </c>
      <c r="D4" s="22" t="s">
        <v>91</v>
      </c>
      <c r="E4" s="51">
        <v>18</v>
      </c>
      <c r="F4" s="51">
        <v>21</v>
      </c>
      <c r="G4" s="51">
        <v>24</v>
      </c>
      <c r="H4" s="51">
        <v>16</v>
      </c>
      <c r="I4" s="51">
        <v>21</v>
      </c>
      <c r="J4" s="51">
        <v>22</v>
      </c>
      <c r="K4" s="51">
        <v>28</v>
      </c>
      <c r="L4" s="89"/>
      <c r="M4" s="17">
        <f>(H4-$E$4)/$E$4</f>
        <v>-0.1111111111111111</v>
      </c>
      <c r="N4" s="17">
        <f>(I4-$E$4)/$E$4</f>
        <v>0.16666666666666666</v>
      </c>
      <c r="O4" s="52">
        <f>(0.000926*F2)-1.981481</f>
        <v>-0.10170100000000004</v>
      </c>
      <c r="P4" s="52">
        <f>N4</f>
        <v>0.16666666666666666</v>
      </c>
      <c r="Q4" s="17">
        <f>(J4-$G$4)/$G$4</f>
        <v>-8.3333333333333329E-2</v>
      </c>
      <c r="R4" s="17">
        <f>(K4-$G$4)/$G$4</f>
        <v>0.16666666666666666</v>
      </c>
      <c r="S4" s="19"/>
      <c r="T4" s="79" t="s">
        <v>262</v>
      </c>
      <c r="U4" s="79" t="s">
        <v>264</v>
      </c>
      <c r="V4" s="79" t="s">
        <v>263</v>
      </c>
      <c r="W4" s="45" t="s">
        <v>262</v>
      </c>
      <c r="X4" s="79" t="s">
        <v>264</v>
      </c>
      <c r="Y4" s="79" t="s">
        <v>263</v>
      </c>
      <c r="Z4" s="45" t="s">
        <v>262</v>
      </c>
      <c r="AA4" s="79" t="s">
        <v>264</v>
      </c>
      <c r="AB4" s="79" t="s">
        <v>263</v>
      </c>
      <c r="AC4" s="92"/>
    </row>
    <row r="5" spans="1:29" ht="20.100000000000001" customHeight="1" x14ac:dyDescent="0.35">
      <c r="A5" s="99" t="s">
        <v>230</v>
      </c>
      <c r="B5" s="16" t="s">
        <v>144</v>
      </c>
      <c r="D5" s="22" t="s">
        <v>92</v>
      </c>
      <c r="E5" s="51">
        <v>91</v>
      </c>
      <c r="F5" s="51">
        <v>92</v>
      </c>
      <c r="G5" s="51">
        <v>92</v>
      </c>
      <c r="H5" s="51">
        <v>90</v>
      </c>
      <c r="I5" s="51">
        <v>92</v>
      </c>
      <c r="J5" s="51">
        <v>91</v>
      </c>
      <c r="K5" s="51">
        <v>94</v>
      </c>
      <c r="L5" s="89"/>
      <c r="M5" s="17">
        <f>(H5-$E$5)/$E$5</f>
        <v>-1.098901098901099E-2</v>
      </c>
      <c r="N5" s="17">
        <f>(I5-$E$5)/$E$5</f>
        <v>1.098901098901099E-2</v>
      </c>
      <c r="O5" s="52">
        <f>M5</f>
        <v>-1.098901098901099E-2</v>
      </c>
      <c r="P5" s="52">
        <f>(0.000358*F2)-0.712852</f>
        <v>1.38879999999999E-2</v>
      </c>
      <c r="Q5" s="17">
        <f>(J5-$G$5)/$G$5</f>
        <v>-1.0869565217391304E-2</v>
      </c>
      <c r="R5" s="17">
        <f>(K5-$G$5)/$G$5</f>
        <v>2.1739130434782608E-2</v>
      </c>
      <c r="S5" s="19"/>
      <c r="T5" s="46">
        <v>2020</v>
      </c>
      <c r="U5" s="49">
        <f>M6</f>
        <v>0</v>
      </c>
      <c r="V5" s="49">
        <f>N6</f>
        <v>5.1020408163265302E-3</v>
      </c>
      <c r="W5" s="46">
        <v>2020</v>
      </c>
      <c r="X5" s="49">
        <f>M7</f>
        <v>-0.5</v>
      </c>
      <c r="Y5" s="49">
        <f>N7</f>
        <v>1</v>
      </c>
      <c r="Z5" s="46">
        <v>2020</v>
      </c>
      <c r="AA5" s="49">
        <f>M8</f>
        <v>-0.47368421052631576</v>
      </c>
      <c r="AB5" s="49">
        <f>N8</f>
        <v>0.31578947368421051</v>
      </c>
      <c r="AC5" s="92"/>
    </row>
    <row r="6" spans="1:29" ht="20.100000000000001" customHeight="1" x14ac:dyDescent="0.35">
      <c r="A6" s="99" t="s">
        <v>164</v>
      </c>
      <c r="B6" s="16" t="s">
        <v>125</v>
      </c>
      <c r="D6" s="22" t="s">
        <v>93</v>
      </c>
      <c r="E6" s="51">
        <v>98</v>
      </c>
      <c r="F6" s="51">
        <v>98.5</v>
      </c>
      <c r="G6" s="51">
        <v>98.5</v>
      </c>
      <c r="H6" s="51">
        <v>98</v>
      </c>
      <c r="I6" s="51">
        <v>98.5</v>
      </c>
      <c r="J6" s="51">
        <v>98</v>
      </c>
      <c r="K6" s="51">
        <v>99</v>
      </c>
      <c r="L6" s="89"/>
      <c r="M6" s="17">
        <f>(H6-$E$6)/$E$6</f>
        <v>0</v>
      </c>
      <c r="N6" s="17">
        <f>(I6-$E$6)/$E$6</f>
        <v>5.1020408163265302E-3</v>
      </c>
      <c r="O6" s="52">
        <f>(-0.000169*F2)+0.341794</f>
        <v>-1.2759999999999994E-3</v>
      </c>
      <c r="P6" s="52">
        <f>N6</f>
        <v>5.1020408163265302E-3</v>
      </c>
      <c r="Q6" s="17">
        <f>(J6-$G$6)/$G$6</f>
        <v>-5.076142131979695E-3</v>
      </c>
      <c r="R6" s="17">
        <f>(K6-$G$6)/$G$6</f>
        <v>5.076142131979695E-3</v>
      </c>
      <c r="S6" s="19"/>
      <c r="T6" s="46">
        <v>2050</v>
      </c>
      <c r="U6" s="49">
        <f>Q6</f>
        <v>-5.076142131979695E-3</v>
      </c>
      <c r="V6" s="49">
        <f>R6</f>
        <v>5.076142131979695E-3</v>
      </c>
      <c r="W6" s="46">
        <v>2050</v>
      </c>
      <c r="X6" s="49">
        <f>Q7</f>
        <v>-0.5</v>
      </c>
      <c r="Y6" s="49">
        <f>R7</f>
        <v>0.49999999999999989</v>
      </c>
      <c r="Z6" s="46">
        <v>2050</v>
      </c>
      <c r="AA6" s="49">
        <f>Q8</f>
        <v>-0.6</v>
      </c>
      <c r="AB6" s="49">
        <f>R8</f>
        <v>0.19999999999999996</v>
      </c>
      <c r="AC6" s="92"/>
    </row>
    <row r="7" spans="1:29" ht="20.100000000000001" customHeight="1" x14ac:dyDescent="0.35">
      <c r="A7" s="99" t="s">
        <v>250</v>
      </c>
      <c r="B7" s="16" t="s">
        <v>127</v>
      </c>
      <c r="D7" s="22" t="s">
        <v>94</v>
      </c>
      <c r="E7" s="51">
        <v>0.1</v>
      </c>
      <c r="F7" s="51">
        <v>0.1</v>
      </c>
      <c r="G7" s="51">
        <v>0.1</v>
      </c>
      <c r="H7" s="51">
        <v>0.05</v>
      </c>
      <c r="I7" s="51">
        <v>0.2</v>
      </c>
      <c r="J7" s="51">
        <v>0.05</v>
      </c>
      <c r="K7" s="51">
        <v>0.15</v>
      </c>
      <c r="L7" s="89"/>
      <c r="M7" s="17">
        <f>(H7-$E$7)/$E$7</f>
        <v>-0.5</v>
      </c>
      <c r="N7" s="17">
        <f>(I7-$E$7)/$E$7</f>
        <v>1</v>
      </c>
      <c r="O7" s="52">
        <f>M7</f>
        <v>-0.5</v>
      </c>
      <c r="P7" s="52">
        <f>(-0.016667*F2)+34.666667</f>
        <v>0.83265699999999754</v>
      </c>
      <c r="Q7" s="17">
        <f>(J7-$G$7)/$G$7</f>
        <v>-0.5</v>
      </c>
      <c r="R7" s="17">
        <f>(K7-$G$7)/$G$7</f>
        <v>0.49999999999999989</v>
      </c>
      <c r="S7" s="19"/>
      <c r="T7" s="79" t="s">
        <v>262</v>
      </c>
      <c r="U7" s="79" t="s">
        <v>264</v>
      </c>
      <c r="V7" s="79" t="s">
        <v>263</v>
      </c>
      <c r="W7" s="45" t="s">
        <v>262</v>
      </c>
      <c r="X7" s="79" t="s">
        <v>264</v>
      </c>
      <c r="Y7" s="79" t="s">
        <v>263</v>
      </c>
      <c r="Z7" s="45" t="s">
        <v>262</v>
      </c>
      <c r="AA7" s="79" t="s">
        <v>264</v>
      </c>
      <c r="AB7" s="79" t="s">
        <v>263</v>
      </c>
      <c r="AC7" s="92"/>
    </row>
    <row r="8" spans="1:29" ht="20.100000000000001" customHeight="1" x14ac:dyDescent="0.35">
      <c r="A8" s="99" t="s">
        <v>167</v>
      </c>
      <c r="B8" s="16" t="s">
        <v>128</v>
      </c>
      <c r="D8" s="22" t="s">
        <v>95</v>
      </c>
      <c r="E8" s="51">
        <v>0.38</v>
      </c>
      <c r="F8" s="51">
        <v>0.35</v>
      </c>
      <c r="G8" s="51">
        <v>0.25</v>
      </c>
      <c r="H8" s="51">
        <v>0.2</v>
      </c>
      <c r="I8" s="51">
        <v>0.5</v>
      </c>
      <c r="J8" s="51">
        <v>0.1</v>
      </c>
      <c r="K8" s="51">
        <v>0.3</v>
      </c>
      <c r="L8" s="89"/>
      <c r="M8" s="17">
        <f>(H8-$E$8)/$E$8</f>
        <v>-0.47368421052631576</v>
      </c>
      <c r="N8" s="17">
        <f>(I8-$E$8)/$E$8</f>
        <v>0.31578947368421051</v>
      </c>
      <c r="O8" s="52">
        <f>(-0.004211*F2)+8.031579</f>
        <v>-0.51675099999999929</v>
      </c>
      <c r="P8" s="52">
        <f>(-0.00386*F2)+8.112281</f>
        <v>0.27648099999999953</v>
      </c>
      <c r="Q8" s="17">
        <f>(J8-$G$8)/$G$8</f>
        <v>-0.6</v>
      </c>
      <c r="R8" s="17">
        <f>(K8-$G$8)/$G$8</f>
        <v>0.19999999999999996</v>
      </c>
      <c r="S8" s="19"/>
      <c r="T8" s="46">
        <v>2020</v>
      </c>
      <c r="U8" s="49">
        <f>M9</f>
        <v>-0.5</v>
      </c>
      <c r="V8" s="49">
        <f>N9</f>
        <v>0.24999999999999994</v>
      </c>
      <c r="W8" s="46">
        <v>2020</v>
      </c>
      <c r="X8" s="49">
        <f>M10</f>
        <v>-0.25</v>
      </c>
      <c r="Y8" s="49">
        <f>N10</f>
        <v>0.25</v>
      </c>
      <c r="Z8" s="46">
        <v>2020</v>
      </c>
      <c r="AA8" s="49">
        <f>M11</f>
        <v>0</v>
      </c>
      <c r="AB8" s="49">
        <f>N11</f>
        <v>0.24999999999999994</v>
      </c>
      <c r="AC8" s="92"/>
    </row>
    <row r="9" spans="1:29" ht="20.100000000000001" customHeight="1" x14ac:dyDescent="0.35">
      <c r="A9" s="99" t="s">
        <v>233</v>
      </c>
      <c r="B9" s="16" t="s">
        <v>129</v>
      </c>
      <c r="D9" s="22" t="s">
        <v>96</v>
      </c>
      <c r="E9" s="51">
        <v>0.2</v>
      </c>
      <c r="F9" s="51">
        <v>0.1</v>
      </c>
      <c r="G9" s="51">
        <v>0.1</v>
      </c>
      <c r="H9" s="51">
        <v>0.1</v>
      </c>
      <c r="I9" s="51">
        <v>0.25</v>
      </c>
      <c r="J9" s="51">
        <v>0.05</v>
      </c>
      <c r="K9" s="51">
        <v>0.2</v>
      </c>
      <c r="L9" s="89"/>
      <c r="M9" s="17">
        <f>(H9-$E$9)/$E$9</f>
        <v>-0.5</v>
      </c>
      <c r="N9" s="17">
        <f>(I9-$E$9)/$E$9</f>
        <v>0.24999999999999994</v>
      </c>
      <c r="O9" s="52">
        <f>M9</f>
        <v>-0.5</v>
      </c>
      <c r="P9" s="52">
        <f>(0.025*F2)-50.25</f>
        <v>0.5</v>
      </c>
      <c r="Q9" s="17">
        <f>(J9-$G$9)/$G$9</f>
        <v>-0.5</v>
      </c>
      <c r="R9" s="17">
        <f>(K9-$G$9)/$G$9</f>
        <v>1</v>
      </c>
      <c r="S9" s="19"/>
      <c r="T9" s="46">
        <v>2050</v>
      </c>
      <c r="U9" s="49">
        <f>Q9</f>
        <v>-0.5</v>
      </c>
      <c r="V9" s="49">
        <f>R9</f>
        <v>1</v>
      </c>
      <c r="W9" s="46">
        <v>2050</v>
      </c>
      <c r="X9" s="49">
        <f>Q10</f>
        <v>-0.33333333333333331</v>
      </c>
      <c r="Y9" s="49">
        <f>R10</f>
        <v>0.5</v>
      </c>
      <c r="Z9" s="46">
        <v>2050</v>
      </c>
      <c r="AA9" s="49">
        <f>Q11</f>
        <v>-0.5</v>
      </c>
      <c r="AB9" s="49">
        <f>R11</f>
        <v>0.24999999999999994</v>
      </c>
      <c r="AC9" s="92"/>
    </row>
    <row r="10" spans="1:29" ht="20.100000000000001" customHeight="1" x14ac:dyDescent="0.35">
      <c r="A10" s="99" t="s">
        <v>252</v>
      </c>
      <c r="B10" s="16" t="s">
        <v>130</v>
      </c>
      <c r="D10" s="22" t="s">
        <v>97</v>
      </c>
      <c r="E10" s="51">
        <v>20</v>
      </c>
      <c r="F10" s="51">
        <v>25</v>
      </c>
      <c r="G10" s="51">
        <v>30</v>
      </c>
      <c r="H10" s="51">
        <v>15</v>
      </c>
      <c r="I10" s="51">
        <v>25</v>
      </c>
      <c r="J10" s="51">
        <v>20</v>
      </c>
      <c r="K10" s="51">
        <v>45</v>
      </c>
      <c r="L10" s="89"/>
      <c r="M10" s="17">
        <f>(H10-$E$10)/$E$10</f>
        <v>-0.25</v>
      </c>
      <c r="N10" s="17">
        <f>(I10-$E$10)/$E$10</f>
        <v>0.25</v>
      </c>
      <c r="O10" s="52">
        <f>(-0.002778*F2)+5.361111</f>
        <v>-0.27822899999999962</v>
      </c>
      <c r="P10" s="52">
        <f>(0.008333*F2)-16.583333</f>
        <v>0.33265700000000109</v>
      </c>
      <c r="Q10" s="17">
        <f>(J10-$G$10)/$G$10</f>
        <v>-0.33333333333333331</v>
      </c>
      <c r="R10" s="17">
        <f>(K10-$G$10)/$G$10</f>
        <v>0.5</v>
      </c>
      <c r="S10" s="19"/>
      <c r="T10" s="79" t="s">
        <v>262</v>
      </c>
      <c r="U10" s="79" t="s">
        <v>264</v>
      </c>
      <c r="V10" s="79" t="s">
        <v>263</v>
      </c>
      <c r="W10" s="45" t="s">
        <v>262</v>
      </c>
      <c r="X10" s="79" t="s">
        <v>264</v>
      </c>
      <c r="Y10" s="79" t="s">
        <v>263</v>
      </c>
      <c r="Z10" s="45" t="s">
        <v>262</v>
      </c>
      <c r="AA10" s="79" t="s">
        <v>264</v>
      </c>
      <c r="AB10" s="79" t="s">
        <v>263</v>
      </c>
      <c r="AC10" s="92"/>
    </row>
    <row r="11" spans="1:29" ht="20.100000000000001" customHeight="1" x14ac:dyDescent="0.35">
      <c r="A11" s="99" t="s">
        <v>170</v>
      </c>
      <c r="B11" s="16" t="s">
        <v>131</v>
      </c>
      <c r="D11" s="22" t="s">
        <v>98</v>
      </c>
      <c r="E11" s="51">
        <v>0.2</v>
      </c>
      <c r="F11" s="51">
        <v>0.2</v>
      </c>
      <c r="G11" s="51">
        <v>0.2</v>
      </c>
      <c r="H11" s="51">
        <v>0.2</v>
      </c>
      <c r="I11" s="51">
        <v>0.25</v>
      </c>
      <c r="J11" s="51">
        <v>0.1</v>
      </c>
      <c r="K11" s="51">
        <v>0.25</v>
      </c>
      <c r="L11" s="89"/>
      <c r="M11" s="17">
        <f>(H11-$E$11)/$E$11</f>
        <v>0</v>
      </c>
      <c r="N11" s="17">
        <f>(I11-$E$11)/$E$11</f>
        <v>0.24999999999999994</v>
      </c>
      <c r="O11" s="52">
        <f>(-0.016667*F2)+33.666667</f>
        <v>-0.16734300000000246</v>
      </c>
      <c r="P11" s="52">
        <f>N11</f>
        <v>0.24999999999999994</v>
      </c>
      <c r="Q11" s="17">
        <f>(J11-$G$11)/$G$11</f>
        <v>-0.5</v>
      </c>
      <c r="R11" s="17">
        <f>(K11-$G$11)/$G$11</f>
        <v>0.24999999999999994</v>
      </c>
      <c r="S11" s="19"/>
      <c r="T11" s="46">
        <v>2020</v>
      </c>
      <c r="U11" s="49">
        <f>M12</f>
        <v>-0.46969696969696967</v>
      </c>
      <c r="V11" s="49">
        <f>N12</f>
        <v>0.43181818181818177</v>
      </c>
      <c r="W11" s="46">
        <v>2020</v>
      </c>
      <c r="X11" s="49">
        <f>M13</f>
        <v>-0.1111111111111112</v>
      </c>
      <c r="Y11" s="49">
        <f>N13</f>
        <v>0.88888888888888884</v>
      </c>
      <c r="Z11" s="46">
        <v>2020</v>
      </c>
      <c r="AA11" s="49">
        <f>M14</f>
        <v>-0.10000000000000009</v>
      </c>
      <c r="AB11" s="49">
        <f>N14</f>
        <v>9.999999999999995E-2</v>
      </c>
      <c r="AC11" s="92"/>
    </row>
    <row r="12" spans="1:29" ht="20.100000000000001" customHeight="1" x14ac:dyDescent="0.35">
      <c r="A12" s="99" t="s">
        <v>184</v>
      </c>
      <c r="B12" s="16" t="s">
        <v>145</v>
      </c>
      <c r="D12" s="22" t="s">
        <v>99</v>
      </c>
      <c r="E12" s="51">
        <v>0.13200000000000001</v>
      </c>
      <c r="F12" s="51">
        <v>6.2E-2</v>
      </c>
      <c r="G12" s="51">
        <v>3.5000000000000003E-2</v>
      </c>
      <c r="H12" s="51">
        <v>7.0000000000000007E-2</v>
      </c>
      <c r="I12" s="51">
        <v>0.189</v>
      </c>
      <c r="J12" s="51">
        <v>2.5999999999999999E-2</v>
      </c>
      <c r="K12" s="51">
        <v>0.115</v>
      </c>
      <c r="L12" s="89"/>
      <c r="M12" s="17">
        <f>(H12-$E$12)/$E$12</f>
        <v>-0.46969696969696967</v>
      </c>
      <c r="N12" s="17">
        <f>(I12-$E$12)/$E$12</f>
        <v>0.43181818181818177</v>
      </c>
      <c r="O12" s="52">
        <f>(0.007085*F2)-14.781674</f>
        <v>-0.39912400000000048</v>
      </c>
      <c r="P12" s="52">
        <f>(0.061797*F2)-124.397186</f>
        <v>1.0507239999999882</v>
      </c>
      <c r="Q12" s="17">
        <f>(J12-$G$12)/$G$12</f>
        <v>-0.25714285714285723</v>
      </c>
      <c r="R12" s="17">
        <f>(K12-$G$12)/$G$12</f>
        <v>2.2857142857142856</v>
      </c>
      <c r="S12" s="19"/>
      <c r="T12" s="46">
        <v>2050</v>
      </c>
      <c r="U12" s="49">
        <f>Q12</f>
        <v>-0.25714285714285723</v>
      </c>
      <c r="V12" s="49">
        <f>R12</f>
        <v>2.2857142857142856</v>
      </c>
      <c r="W12" s="46">
        <v>2050</v>
      </c>
      <c r="X12" s="49">
        <f>Q13</f>
        <v>-0.33333333333333331</v>
      </c>
      <c r="Y12" s="49">
        <f>R13</f>
        <v>3.166666666666667</v>
      </c>
      <c r="Z12" s="46">
        <v>2050</v>
      </c>
      <c r="AA12" s="49">
        <f>Q14</f>
        <v>-0.5</v>
      </c>
      <c r="AB12" s="49">
        <f>R14</f>
        <v>1.7500000000000002</v>
      </c>
      <c r="AC12" s="92"/>
    </row>
    <row r="13" spans="1:29" ht="20.100000000000001" customHeight="1" x14ac:dyDescent="0.35">
      <c r="A13" s="99" t="s">
        <v>225</v>
      </c>
      <c r="B13" s="16" t="s">
        <v>146</v>
      </c>
      <c r="D13" s="22" t="s">
        <v>100</v>
      </c>
      <c r="E13" s="51">
        <v>0.27</v>
      </c>
      <c r="F13" s="51">
        <v>0.16</v>
      </c>
      <c r="G13" s="51">
        <v>0.06</v>
      </c>
      <c r="H13" s="51">
        <v>0.24</v>
      </c>
      <c r="I13" s="51">
        <v>0.51</v>
      </c>
      <c r="J13" s="51">
        <v>0.04</v>
      </c>
      <c r="K13" s="51">
        <v>0.25</v>
      </c>
      <c r="L13" s="89"/>
      <c r="M13" s="17">
        <f>(H13-$E$13)/$E$13</f>
        <v>-0.1111111111111112</v>
      </c>
      <c r="N13" s="17">
        <f>(I13-$E$13)/$E$13</f>
        <v>0.88888888888888884</v>
      </c>
      <c r="O13" s="52">
        <f>(-0.007407*F2)+14.851852</f>
        <v>-0.18435800000000135</v>
      </c>
      <c r="P13" s="52">
        <f>(0.075926*F2)-152.481481</f>
        <v>1.6482989999999802</v>
      </c>
      <c r="Q13" s="17">
        <f>(J13-$G$13)/$G$13</f>
        <v>-0.33333333333333331</v>
      </c>
      <c r="R13" s="17">
        <f>(K13-$G$13)/$G$13</f>
        <v>3.166666666666667</v>
      </c>
      <c r="S13" s="19"/>
      <c r="T13" s="79" t="s">
        <v>262</v>
      </c>
      <c r="U13" s="79" t="s">
        <v>264</v>
      </c>
      <c r="V13" s="79" t="s">
        <v>263</v>
      </c>
      <c r="W13" s="45" t="s">
        <v>262</v>
      </c>
      <c r="X13" s="79" t="s">
        <v>264</v>
      </c>
      <c r="Y13" s="79" t="s">
        <v>263</v>
      </c>
      <c r="Z13" s="45" t="s">
        <v>262</v>
      </c>
      <c r="AA13" s="79" t="s">
        <v>264</v>
      </c>
      <c r="AB13" s="79" t="s">
        <v>263</v>
      </c>
      <c r="AC13" s="92"/>
    </row>
    <row r="14" spans="1:29" ht="20.100000000000001" customHeight="1" x14ac:dyDescent="0.35">
      <c r="A14" s="99" t="s">
        <v>253</v>
      </c>
      <c r="B14" s="16" t="s">
        <v>147</v>
      </c>
      <c r="D14" s="22" t="s">
        <v>101</v>
      </c>
      <c r="E14" s="51">
        <v>0.1</v>
      </c>
      <c r="F14" s="51">
        <v>0.08</v>
      </c>
      <c r="G14" s="51">
        <v>0.04</v>
      </c>
      <c r="H14" s="51">
        <v>0.09</v>
      </c>
      <c r="I14" s="51">
        <v>0.11</v>
      </c>
      <c r="J14" s="51">
        <v>0.02</v>
      </c>
      <c r="K14" s="51">
        <v>0.11</v>
      </c>
      <c r="L14" s="89"/>
      <c r="M14" s="17">
        <f>(H14-$E$14)/$E$14</f>
        <v>-0.10000000000000009</v>
      </c>
      <c r="N14" s="17">
        <f>(I14-$E$14)/$E$14</f>
        <v>9.999999999999995E-2</v>
      </c>
      <c r="O14" s="52">
        <f>(-0.013333*F2)+26.833333</f>
        <v>-0.23265699999999967</v>
      </c>
      <c r="P14" s="52">
        <f>(0.055*F2)-111</f>
        <v>0.65000000000000568</v>
      </c>
      <c r="Q14" s="17">
        <f>(J14-$G$14)/$G$14</f>
        <v>-0.5</v>
      </c>
      <c r="R14" s="17">
        <f>(K14-$G$14)/$G$14</f>
        <v>1.7500000000000002</v>
      </c>
      <c r="S14" s="19"/>
      <c r="T14" s="46">
        <v>2020</v>
      </c>
      <c r="U14" s="49">
        <f>M15</f>
        <v>-0.16666666666666671</v>
      </c>
      <c r="V14" s="49">
        <f>N15</f>
        <v>0</v>
      </c>
      <c r="W14" s="46">
        <v>2020</v>
      </c>
      <c r="X14" s="49">
        <f>M16</f>
        <v>-0.8</v>
      </c>
      <c r="Y14" s="49">
        <f>N16</f>
        <v>1.7999999999999998</v>
      </c>
      <c r="Z14" s="46">
        <v>2020</v>
      </c>
      <c r="AA14" s="49">
        <f>M17</f>
        <v>-0.31034482758620691</v>
      </c>
      <c r="AB14" s="49">
        <f>N17</f>
        <v>0.11637931034482757</v>
      </c>
      <c r="AC14" s="92"/>
    </row>
    <row r="15" spans="1:29" ht="20.100000000000001" customHeight="1" x14ac:dyDescent="0.35">
      <c r="A15" s="80" t="s">
        <v>235</v>
      </c>
      <c r="B15" s="16" t="s">
        <v>138</v>
      </c>
      <c r="D15" s="22" t="s">
        <v>102</v>
      </c>
      <c r="E15" s="51">
        <v>0.54</v>
      </c>
      <c r="F15" s="51">
        <v>0.54</v>
      </c>
      <c r="G15" s="51">
        <v>0.54</v>
      </c>
      <c r="H15" s="51">
        <v>0.45</v>
      </c>
      <c r="I15" s="51">
        <v>0.54</v>
      </c>
      <c r="J15" s="51">
        <v>0.4</v>
      </c>
      <c r="K15" s="51">
        <v>0.54</v>
      </c>
      <c r="L15" s="89"/>
      <c r="M15" s="17">
        <f>(H15-$E$15)/$E$15</f>
        <v>-0.16666666666666671</v>
      </c>
      <c r="N15" s="17">
        <f>(I15-$E$15)/$E$15</f>
        <v>0</v>
      </c>
      <c r="O15" s="52">
        <f>(-0.003086*F2)+6.067901</f>
        <v>-0.19667900000000049</v>
      </c>
      <c r="P15" s="52">
        <f>N15</f>
        <v>0</v>
      </c>
      <c r="Q15" s="17">
        <f>(J15-$G$15)/$G$15</f>
        <v>-0.25925925925925924</v>
      </c>
      <c r="R15" s="17">
        <f>(K15-$G$15)/$G$15</f>
        <v>0</v>
      </c>
      <c r="S15" s="19"/>
      <c r="T15" s="46">
        <v>2050</v>
      </c>
      <c r="U15" s="49">
        <f>Q15</f>
        <v>-0.25925925925925924</v>
      </c>
      <c r="V15" s="49">
        <f>R15</f>
        <v>0</v>
      </c>
      <c r="W15" s="46">
        <v>2050</v>
      </c>
      <c r="X15" s="49">
        <f>Q16</f>
        <v>-0.8125</v>
      </c>
      <c r="Y15" s="49">
        <f>R16</f>
        <v>0.56249999999999989</v>
      </c>
      <c r="Z15" s="46">
        <v>2050</v>
      </c>
      <c r="AA15" s="49">
        <f>Q17</f>
        <v>-0.38666666666666666</v>
      </c>
      <c r="AB15" s="49">
        <f>R17</f>
        <v>1.3466666666666667</v>
      </c>
      <c r="AC15" s="92"/>
    </row>
    <row r="16" spans="1:29" ht="20.100000000000001" customHeight="1" x14ac:dyDescent="0.35">
      <c r="A16" s="80" t="s">
        <v>256</v>
      </c>
      <c r="B16" s="16" t="s">
        <v>148</v>
      </c>
      <c r="D16" s="22" t="s">
        <v>103</v>
      </c>
      <c r="E16" s="51">
        <v>2</v>
      </c>
      <c r="F16" s="51">
        <v>1.8</v>
      </c>
      <c r="G16" s="51">
        <v>1.6</v>
      </c>
      <c r="H16" s="51">
        <v>0.4</v>
      </c>
      <c r="I16" s="51">
        <v>5.6</v>
      </c>
      <c r="J16" s="51">
        <v>0.3</v>
      </c>
      <c r="K16" s="51">
        <v>2.5</v>
      </c>
      <c r="L16" s="89"/>
      <c r="M16" s="17">
        <f>(H16-$E$16)/$E$16</f>
        <v>-0.8</v>
      </c>
      <c r="N16" s="17">
        <f>(I16-$E$16)/$E$16</f>
        <v>1.7999999999999998</v>
      </c>
      <c r="O16" s="52">
        <f>(-0.000417*F2)+0.041667</f>
        <v>-0.80484299999999998</v>
      </c>
      <c r="P16" s="52">
        <f>(-0.04125*F2)+85.125</f>
        <v>1.3875000000000028</v>
      </c>
      <c r="Q16" s="17">
        <f>(J16-$G$16)/$G$16</f>
        <v>-0.8125</v>
      </c>
      <c r="R16" s="17">
        <f>(K16-$G$16)/$G$16</f>
        <v>0.56249999999999989</v>
      </c>
      <c r="S16" s="19"/>
      <c r="T16" s="79" t="s">
        <v>262</v>
      </c>
      <c r="U16" s="79" t="s">
        <v>264</v>
      </c>
      <c r="V16" s="79" t="s">
        <v>263</v>
      </c>
      <c r="W16" s="45" t="s">
        <v>262</v>
      </c>
      <c r="X16" s="79" t="s">
        <v>264</v>
      </c>
      <c r="Y16" s="79" t="s">
        <v>263</v>
      </c>
      <c r="Z16" s="45" t="s">
        <v>262</v>
      </c>
      <c r="AA16" s="79" t="s">
        <v>264</v>
      </c>
      <c r="AB16" s="79" t="s">
        <v>263</v>
      </c>
      <c r="AC16" s="92"/>
    </row>
    <row r="17" spans="1:29" ht="20.100000000000001" customHeight="1" x14ac:dyDescent="0.35">
      <c r="A17" s="80" t="s">
        <v>270</v>
      </c>
      <c r="B17" s="16" t="s">
        <v>149</v>
      </c>
      <c r="D17" s="22" t="s">
        <v>104</v>
      </c>
      <c r="E17" s="51">
        <v>0.23200000000000001</v>
      </c>
      <c r="F17" s="51">
        <v>0.14199999999999999</v>
      </c>
      <c r="G17" s="51">
        <v>7.4999999999999997E-2</v>
      </c>
      <c r="H17" s="51">
        <v>0.16</v>
      </c>
      <c r="I17" s="51">
        <v>0.25900000000000001</v>
      </c>
      <c r="J17" s="51">
        <v>4.5999999999999999E-2</v>
      </c>
      <c r="K17" s="51">
        <v>0.17599999999999999</v>
      </c>
      <c r="L17" s="89"/>
      <c r="M17" s="17">
        <f>(H17-$E$17)/$E$17</f>
        <v>-0.31034482758620691</v>
      </c>
      <c r="N17" s="17">
        <f>(I17-$E$17)/$E$17</f>
        <v>0.11637931034482757</v>
      </c>
      <c r="O17" s="52">
        <f>(-0.002544*F2)+4.828659</f>
        <v>-0.33566099999999999</v>
      </c>
      <c r="P17" s="52">
        <f>(0.04101*F2)-82.722969</f>
        <v>0.52733099999998956</v>
      </c>
      <c r="Q17" s="17">
        <f>(J17-$G$17)/$G$17</f>
        <v>-0.38666666666666666</v>
      </c>
      <c r="R17" s="17">
        <f>(K17-$G$17)/$G$17</f>
        <v>1.3466666666666667</v>
      </c>
      <c r="S17" s="19"/>
      <c r="T17" s="46">
        <v>2020</v>
      </c>
      <c r="U17" s="49">
        <f>M18</f>
        <v>-0.1111111111111112</v>
      </c>
      <c r="V17" s="49">
        <f>N18</f>
        <v>0.88888888888888884</v>
      </c>
      <c r="W17" s="46">
        <v>2020</v>
      </c>
      <c r="X17" s="49">
        <f>M19</f>
        <v>-0.15151515151515146</v>
      </c>
      <c r="Y17" s="49">
        <f>N19</f>
        <v>0.75757575757575735</v>
      </c>
      <c r="Z17" s="46">
        <v>2020</v>
      </c>
      <c r="AA17" s="49">
        <f>M20</f>
        <v>-0.2857142857142857</v>
      </c>
      <c r="AB17" s="49">
        <f>N20</f>
        <v>0.14285714285714285</v>
      </c>
      <c r="AC17" s="92"/>
    </row>
    <row r="18" spans="1:29" ht="20.100000000000001" customHeight="1" x14ac:dyDescent="0.35">
      <c r="A18" s="80" t="s">
        <v>254</v>
      </c>
      <c r="B18" s="16" t="s">
        <v>150</v>
      </c>
      <c r="D18" s="22" t="s">
        <v>105</v>
      </c>
      <c r="E18" s="51">
        <v>0.27</v>
      </c>
      <c r="F18" s="51">
        <v>0.16</v>
      </c>
      <c r="G18" s="51">
        <v>0.06</v>
      </c>
      <c r="H18" s="51">
        <v>0.24</v>
      </c>
      <c r="I18" s="51">
        <v>0.51</v>
      </c>
      <c r="J18" s="51">
        <v>0.04</v>
      </c>
      <c r="K18" s="51">
        <v>0.25</v>
      </c>
      <c r="L18" s="89"/>
      <c r="M18" s="17">
        <f>(H18-$E$18)/$E$18</f>
        <v>-0.1111111111111112</v>
      </c>
      <c r="N18" s="17">
        <f>(I18-$E$18)/$E$18</f>
        <v>0.88888888888888884</v>
      </c>
      <c r="O18" s="52">
        <f>(-0.007407*F2)+14.851852</f>
        <v>-0.18435800000000135</v>
      </c>
      <c r="P18" s="52">
        <f>(0.075926*F2)-152.481481</f>
        <v>1.6482989999999802</v>
      </c>
      <c r="Q18" s="17">
        <f>(J18-$G$18)/$G$18</f>
        <v>-0.33333333333333331</v>
      </c>
      <c r="R18" s="17">
        <f>(K18-$G$18)/$G$18</f>
        <v>3.166666666666667</v>
      </c>
      <c r="S18" s="19"/>
      <c r="T18" s="46">
        <v>2050</v>
      </c>
      <c r="U18" s="49">
        <f>Q18</f>
        <v>-0.33333333333333331</v>
      </c>
      <c r="V18" s="49">
        <f>R18</f>
        <v>3.166666666666667</v>
      </c>
      <c r="W18" s="46">
        <v>2050</v>
      </c>
      <c r="X18" s="49">
        <f>Q19</f>
        <v>-0.375</v>
      </c>
      <c r="Y18" s="49">
        <f>R19</f>
        <v>2.8749999999999996</v>
      </c>
      <c r="Z18" s="46">
        <v>2050</v>
      </c>
      <c r="AA18" s="49">
        <f>Q20</f>
        <v>-0.6</v>
      </c>
      <c r="AB18" s="49">
        <f>R20</f>
        <v>0.4</v>
      </c>
      <c r="AC18" s="92"/>
    </row>
    <row r="19" spans="1:29" ht="20.100000000000001" customHeight="1" x14ac:dyDescent="0.35">
      <c r="A19" s="81" t="s">
        <v>255</v>
      </c>
      <c r="B19" s="16" t="s">
        <v>151</v>
      </c>
      <c r="D19" s="22" t="s">
        <v>106</v>
      </c>
      <c r="E19" s="51">
        <v>0.33</v>
      </c>
      <c r="F19" s="51">
        <v>0.2</v>
      </c>
      <c r="G19" s="51">
        <v>0.08</v>
      </c>
      <c r="H19" s="51">
        <v>0.28000000000000003</v>
      </c>
      <c r="I19" s="51">
        <v>0.57999999999999996</v>
      </c>
      <c r="J19" s="51">
        <v>0.05</v>
      </c>
      <c r="K19" s="51">
        <v>0.31</v>
      </c>
      <c r="L19" s="89"/>
      <c r="M19" s="17">
        <f>(H19-$E$19)/$E$19</f>
        <v>-0.15151515151515146</v>
      </c>
      <c r="N19" s="17">
        <f>(I19-$E$19)/$E$19</f>
        <v>0.75757575757575735</v>
      </c>
      <c r="O19" s="52">
        <f>(-0.007449*F2)+14.896465</f>
        <v>-0.22500500000000123</v>
      </c>
      <c r="P19" s="52">
        <f>(0.070581*F2)-141.815657</f>
        <v>1.4637730000000317</v>
      </c>
      <c r="Q19" s="17">
        <f>(J19-$G$19)/$G$19</f>
        <v>-0.375</v>
      </c>
      <c r="R19" s="17">
        <f>(K19-$G$19)/$G$19</f>
        <v>2.8749999999999996</v>
      </c>
      <c r="S19" s="19"/>
      <c r="T19" s="79" t="s">
        <v>262</v>
      </c>
      <c r="U19" s="79" t="s">
        <v>264</v>
      </c>
      <c r="V19" s="79" t="s">
        <v>263</v>
      </c>
      <c r="W19" s="45" t="s">
        <v>262</v>
      </c>
      <c r="X19" s="79" t="s">
        <v>264</v>
      </c>
      <c r="Y19" s="79" t="s">
        <v>263</v>
      </c>
      <c r="Z19" s="53"/>
      <c r="AA19" s="53"/>
      <c r="AB19" s="53"/>
      <c r="AC19" s="92"/>
    </row>
    <row r="20" spans="1:29" ht="20.100000000000001" customHeight="1" x14ac:dyDescent="0.35">
      <c r="A20" s="80" t="s">
        <v>227</v>
      </c>
      <c r="B20" s="16" t="s">
        <v>1</v>
      </c>
      <c r="D20" s="22" t="s">
        <v>107</v>
      </c>
      <c r="E20" s="51">
        <v>14000</v>
      </c>
      <c r="F20" s="51">
        <v>30000</v>
      </c>
      <c r="G20" s="51">
        <v>50000</v>
      </c>
      <c r="H20" s="51">
        <v>10000</v>
      </c>
      <c r="I20" s="51">
        <v>16000</v>
      </c>
      <c r="J20" s="51">
        <v>20000</v>
      </c>
      <c r="K20" s="51">
        <v>70000</v>
      </c>
      <c r="L20" s="89"/>
      <c r="M20" s="17">
        <f>(H20-$E$20)/$E$20</f>
        <v>-0.2857142857142857</v>
      </c>
      <c r="N20" s="17">
        <f>(I20-$E$20)/$E$20</f>
        <v>0.14285714285714285</v>
      </c>
      <c r="O20" s="52">
        <f>(-0.010476*F2)+20.87619</f>
        <v>-0.39008999999999716</v>
      </c>
      <c r="P20" s="52">
        <f>(0.008571*F2)-17.171429</f>
        <v>0.22770099999999971</v>
      </c>
      <c r="Q20" s="17">
        <f>(J20-$G$20)/$G$20</f>
        <v>-0.6</v>
      </c>
      <c r="R20" s="17">
        <f>(K20-$G$20)/$G$20</f>
        <v>0.4</v>
      </c>
      <c r="S20" s="19"/>
      <c r="T20" s="46">
        <v>2020</v>
      </c>
      <c r="U20" s="49">
        <f>M21</f>
        <v>-7.6190476190476197E-2</v>
      </c>
      <c r="V20" s="49">
        <f>N21</f>
        <v>0.33333333333333331</v>
      </c>
      <c r="W20" s="46">
        <v>2020</v>
      </c>
      <c r="X20" s="49">
        <f>M22</f>
        <v>-6.9230769230769235E-2</v>
      </c>
      <c r="Y20" s="49">
        <f>N22</f>
        <v>0.53846153846153844</v>
      </c>
      <c r="Z20" s="54"/>
      <c r="AA20" s="54"/>
      <c r="AB20" s="54"/>
      <c r="AC20" s="92"/>
    </row>
    <row r="21" spans="1:29" ht="20.100000000000001" customHeight="1" x14ac:dyDescent="0.35">
      <c r="A21" s="80" t="s">
        <v>229</v>
      </c>
      <c r="B21" s="16" t="s">
        <v>152</v>
      </c>
      <c r="D21" s="22" t="s">
        <v>108</v>
      </c>
      <c r="E21" s="51">
        <v>105</v>
      </c>
      <c r="F21" s="51">
        <v>139</v>
      </c>
      <c r="G21" s="51">
        <v>209</v>
      </c>
      <c r="H21" s="51">
        <v>97</v>
      </c>
      <c r="I21" s="51">
        <v>140</v>
      </c>
      <c r="J21" s="51">
        <v>150</v>
      </c>
      <c r="K21" s="51">
        <v>300</v>
      </c>
      <c r="L21" s="89"/>
      <c r="M21" s="17">
        <f>(H21-$E$21)/$E$21</f>
        <v>-7.6190476190476197E-2</v>
      </c>
      <c r="N21" s="17">
        <f>(I21-$E$21)/$E$21</f>
        <v>0.33333333333333331</v>
      </c>
      <c r="O21" s="52">
        <f>(-0.00687*F2)+13.801625</f>
        <v>-0.14447500000000169</v>
      </c>
      <c r="P21" s="52">
        <f>(0.003402*F2)-6.539607</f>
        <v>0.36645299999999992</v>
      </c>
      <c r="Q21" s="17">
        <f>(J21-$G$21)/$G$21</f>
        <v>-0.28229665071770332</v>
      </c>
      <c r="R21" s="17">
        <f>(K21-$G$21)/$G$21</f>
        <v>0.4354066985645933</v>
      </c>
      <c r="S21" s="19"/>
      <c r="T21" s="46">
        <v>2050</v>
      </c>
      <c r="U21" s="49">
        <f>Q21</f>
        <v>-0.28229665071770332</v>
      </c>
      <c r="V21" s="49">
        <f>R21</f>
        <v>0.4354066985645933</v>
      </c>
      <c r="W21" s="46">
        <v>2050</v>
      </c>
      <c r="X21" s="49">
        <f>Q22</f>
        <v>-0.33461538461538459</v>
      </c>
      <c r="Y21" s="49">
        <f>R22</f>
        <v>0.53846153846153844</v>
      </c>
      <c r="Z21" s="54"/>
      <c r="AA21" s="54"/>
      <c r="AB21" s="54"/>
      <c r="AC21" s="92"/>
    </row>
    <row r="22" spans="1:29" ht="20.100000000000001" customHeight="1" x14ac:dyDescent="0.35">
      <c r="A22" s="80" t="s">
        <v>251</v>
      </c>
      <c r="B22" s="16" t="s">
        <v>153</v>
      </c>
      <c r="D22" s="22" t="s">
        <v>109</v>
      </c>
      <c r="E22" s="55">
        <v>130</v>
      </c>
      <c r="F22" s="55">
        <v>173</v>
      </c>
      <c r="G22" s="55">
        <v>260</v>
      </c>
      <c r="H22" s="51">
        <v>121</v>
      </c>
      <c r="I22" s="51">
        <v>200</v>
      </c>
      <c r="J22" s="51">
        <v>173</v>
      </c>
      <c r="K22" s="51">
        <v>400</v>
      </c>
      <c r="L22" s="89"/>
      <c r="M22" s="17">
        <f>(H22-$E$22)/$E$22</f>
        <v>-6.9230769230769235E-2</v>
      </c>
      <c r="N22" s="17">
        <f>(I22-$E$22)/$E$22</f>
        <v>0.53846153846153844</v>
      </c>
      <c r="O22" s="52">
        <f>(-0.008846*F2)+17.8</f>
        <v>-0.15737999999999985</v>
      </c>
      <c r="P22" s="52">
        <f>N22</f>
        <v>0.53846153846153844</v>
      </c>
      <c r="Q22" s="17">
        <f>(J22-$G$22)/$G$22</f>
        <v>-0.33461538461538459</v>
      </c>
      <c r="R22" s="17">
        <f>(K22-$G$22)/$G$22</f>
        <v>0.53846153846153844</v>
      </c>
      <c r="S22" s="19"/>
      <c r="T22" s="54"/>
      <c r="U22" s="54"/>
      <c r="V22" s="54"/>
      <c r="W22" s="56"/>
      <c r="X22" s="56"/>
      <c r="Y22" s="56"/>
      <c r="Z22" s="56"/>
      <c r="AA22" s="56"/>
      <c r="AB22" s="56"/>
      <c r="AC22" s="93"/>
    </row>
    <row r="23" spans="1:29" x14ac:dyDescent="0.35">
      <c r="C23" s="29"/>
      <c r="D23" s="57"/>
      <c r="O23" s="58"/>
      <c r="P23" s="58"/>
      <c r="AC23" s="59"/>
    </row>
    <row r="24" spans="1:29" ht="49.5" customHeight="1" x14ac:dyDescent="0.35">
      <c r="A24" s="10"/>
      <c r="C24" s="29"/>
      <c r="D24" s="57"/>
      <c r="N24" s="60"/>
      <c r="O24" s="61"/>
      <c r="P24" s="61"/>
      <c r="Q24" s="61"/>
      <c r="R24" s="61"/>
      <c r="S24" s="61"/>
      <c r="T24" s="43"/>
      <c r="U24" s="62"/>
      <c r="V24" s="62"/>
      <c r="W24" s="62"/>
      <c r="X24" s="62"/>
      <c r="Y24" s="62"/>
      <c r="Z24" s="62"/>
      <c r="AA24" s="62"/>
      <c r="AB24" s="62"/>
      <c r="AC24" s="42"/>
    </row>
    <row r="25" spans="1:29" x14ac:dyDescent="0.35">
      <c r="A25" s="10"/>
      <c r="D25" s="119"/>
      <c r="E25" s="119"/>
      <c r="F25" s="119"/>
      <c r="G25" s="121" t="s">
        <v>265</v>
      </c>
      <c r="H25" s="122"/>
      <c r="I25" s="122"/>
      <c r="J25" s="122"/>
      <c r="K25" s="122"/>
      <c r="L25" s="123"/>
      <c r="O25" s="58"/>
      <c r="P25" s="58"/>
    </row>
    <row r="26" spans="1:29" ht="52.5" customHeight="1" x14ac:dyDescent="0.35">
      <c r="A26" s="10"/>
      <c r="D26" s="119" t="s">
        <v>173</v>
      </c>
      <c r="E26" s="119"/>
      <c r="F26" s="119"/>
      <c r="G26" s="120" t="s">
        <v>269</v>
      </c>
      <c r="H26" s="120"/>
      <c r="I26" s="120"/>
      <c r="J26" s="120"/>
      <c r="K26" s="120"/>
      <c r="L26" s="120"/>
      <c r="O26" s="58"/>
      <c r="P26" s="58"/>
    </row>
    <row r="27" spans="1:29" ht="65.25" customHeight="1" x14ac:dyDescent="0.35">
      <c r="A27" s="10"/>
      <c r="D27" s="119" t="s">
        <v>174</v>
      </c>
      <c r="E27" s="119"/>
      <c r="F27" s="119"/>
      <c r="G27" s="120"/>
      <c r="H27" s="120"/>
      <c r="I27" s="120"/>
      <c r="J27" s="120"/>
      <c r="K27" s="120"/>
      <c r="L27" s="120"/>
      <c r="O27" s="58"/>
      <c r="P27" s="58"/>
    </row>
    <row r="28" spans="1:29" ht="60" customHeight="1" x14ac:dyDescent="0.35">
      <c r="A28" s="10"/>
      <c r="D28" s="119" t="s">
        <v>267</v>
      </c>
      <c r="E28" s="119"/>
      <c r="F28" s="119"/>
      <c r="G28" s="120" t="s">
        <v>310</v>
      </c>
      <c r="H28" s="120"/>
      <c r="I28" s="120"/>
      <c r="J28" s="120"/>
      <c r="K28" s="120"/>
      <c r="L28" s="120"/>
      <c r="M28" s="63"/>
      <c r="N28" s="63"/>
      <c r="O28" s="63"/>
      <c r="P28" s="58"/>
    </row>
    <row r="29" spans="1:29" ht="60" customHeight="1" x14ac:dyDescent="0.35">
      <c r="A29" s="10"/>
      <c r="D29" s="119" t="s">
        <v>268</v>
      </c>
      <c r="E29" s="119"/>
      <c r="F29" s="119"/>
      <c r="G29" s="120" t="s">
        <v>313</v>
      </c>
      <c r="H29" s="120"/>
      <c r="I29" s="120"/>
      <c r="J29" s="120"/>
      <c r="K29" s="120"/>
      <c r="L29" s="120"/>
      <c r="M29" s="63"/>
      <c r="N29" s="63"/>
      <c r="O29" s="63"/>
      <c r="P29" s="58"/>
    </row>
    <row r="30" spans="1:29" x14ac:dyDescent="0.35">
      <c r="A30" s="10"/>
      <c r="C30" s="57"/>
      <c r="D30" s="57"/>
      <c r="O30" s="58"/>
      <c r="P30" s="58"/>
    </row>
    <row r="31" spans="1:29" x14ac:dyDescent="0.35">
      <c r="A31" s="10"/>
      <c r="C31" s="57"/>
      <c r="D31" s="57"/>
      <c r="O31" s="58"/>
      <c r="P31" s="58"/>
    </row>
    <row r="32" spans="1:29" s="10" customFormat="1" ht="15" x14ac:dyDescent="0.3">
      <c r="C32" s="114" t="s">
        <v>15</v>
      </c>
      <c r="D32" s="115" t="s">
        <v>56</v>
      </c>
      <c r="E32" s="115"/>
      <c r="O32" s="14"/>
      <c r="P32" s="14"/>
    </row>
    <row r="33" spans="1:16" s="10" customFormat="1" ht="15" x14ac:dyDescent="0.3">
      <c r="C33" s="114" t="s">
        <v>273</v>
      </c>
      <c r="D33" s="115" t="s">
        <v>57</v>
      </c>
      <c r="E33" s="115"/>
      <c r="O33" s="14"/>
      <c r="P33" s="14"/>
    </row>
    <row r="34" spans="1:16" s="10" customFormat="1" ht="15" x14ac:dyDescent="0.3">
      <c r="C34" s="114" t="s">
        <v>274</v>
      </c>
      <c r="D34" s="115" t="s">
        <v>58</v>
      </c>
      <c r="E34" s="115"/>
      <c r="O34" s="14"/>
      <c r="P34" s="14"/>
    </row>
    <row r="35" spans="1:16" s="10" customFormat="1" ht="15" x14ac:dyDescent="0.3">
      <c r="C35" s="114" t="s">
        <v>275</v>
      </c>
      <c r="D35" s="115" t="s">
        <v>59</v>
      </c>
      <c r="E35" s="115"/>
      <c r="O35" s="14"/>
      <c r="P35" s="14"/>
    </row>
    <row r="36" spans="1:16" s="10" customFormat="1" ht="15" x14ac:dyDescent="0.3">
      <c r="C36" s="114" t="s">
        <v>276</v>
      </c>
      <c r="D36" s="115" t="s">
        <v>60</v>
      </c>
      <c r="E36" s="115"/>
      <c r="O36" s="14"/>
      <c r="P36" s="14"/>
    </row>
    <row r="37" spans="1:16" s="10" customFormat="1" ht="15" x14ac:dyDescent="0.3">
      <c r="C37" s="114" t="s">
        <v>277</v>
      </c>
      <c r="D37" s="115" t="s">
        <v>61</v>
      </c>
      <c r="E37" s="115"/>
      <c r="O37" s="14"/>
      <c r="P37" s="14"/>
    </row>
    <row r="38" spans="1:16" s="10" customFormat="1" ht="15" x14ac:dyDescent="0.3">
      <c r="C38" s="114" t="s">
        <v>278</v>
      </c>
      <c r="D38" s="115" t="s">
        <v>62</v>
      </c>
      <c r="E38" s="115"/>
    </row>
    <row r="39" spans="1:16" s="10" customFormat="1" ht="15" x14ac:dyDescent="0.3">
      <c r="C39" s="114" t="s">
        <v>279</v>
      </c>
      <c r="D39" s="115" t="s">
        <v>63</v>
      </c>
      <c r="E39" s="115"/>
    </row>
    <row r="40" spans="1:16" s="10" customFormat="1" ht="15" x14ac:dyDescent="0.3">
      <c r="C40" s="114" t="s">
        <v>280</v>
      </c>
      <c r="D40" s="115" t="s">
        <v>64</v>
      </c>
      <c r="E40" s="115"/>
    </row>
    <row r="41" spans="1:16" s="10" customFormat="1" ht="15" x14ac:dyDescent="0.3">
      <c r="C41" s="114" t="s">
        <v>281</v>
      </c>
      <c r="D41" s="115" t="s">
        <v>65</v>
      </c>
      <c r="E41" s="115"/>
    </row>
    <row r="42" spans="1:16" s="10" customFormat="1" ht="15" x14ac:dyDescent="0.3">
      <c r="C42" s="114" t="s">
        <v>25</v>
      </c>
      <c r="D42" s="115" t="s">
        <v>66</v>
      </c>
      <c r="E42" s="115"/>
    </row>
    <row r="43" spans="1:16" s="10" customFormat="1" ht="15" x14ac:dyDescent="0.3">
      <c r="C43" s="114" t="s">
        <v>282</v>
      </c>
      <c r="D43" s="115" t="s">
        <v>67</v>
      </c>
      <c r="E43" s="115"/>
    </row>
    <row r="44" spans="1:16" s="10" customFormat="1" ht="15" x14ac:dyDescent="0.3">
      <c r="C44" s="114" t="s">
        <v>283</v>
      </c>
      <c r="D44" s="115" t="s">
        <v>68</v>
      </c>
      <c r="E44" s="115"/>
    </row>
    <row r="45" spans="1:16" s="10" customFormat="1" ht="15" x14ac:dyDescent="0.3">
      <c r="C45" s="114" t="s">
        <v>35</v>
      </c>
      <c r="D45" s="115" t="s">
        <v>69</v>
      </c>
      <c r="E45" s="115"/>
    </row>
    <row r="46" spans="1:16" s="10" customFormat="1" ht="15" x14ac:dyDescent="0.3">
      <c r="C46" s="114" t="s">
        <v>284</v>
      </c>
      <c r="D46" s="115" t="s">
        <v>70</v>
      </c>
      <c r="E46" s="115"/>
    </row>
    <row r="47" spans="1:16" s="10" customFormat="1" x14ac:dyDescent="0.35">
      <c r="A47" s="6"/>
      <c r="C47" s="114" t="s">
        <v>285</v>
      </c>
      <c r="D47" s="115" t="s">
        <v>71</v>
      </c>
      <c r="E47" s="115"/>
    </row>
    <row r="48" spans="1:16" s="10" customFormat="1" x14ac:dyDescent="0.35">
      <c r="A48" s="6"/>
      <c r="C48" s="114" t="s">
        <v>286</v>
      </c>
      <c r="D48" s="115" t="s">
        <v>72</v>
      </c>
      <c r="E48" s="115"/>
    </row>
    <row r="49" spans="1:5" s="10" customFormat="1" x14ac:dyDescent="0.35">
      <c r="A49" s="6"/>
      <c r="C49" s="114" t="s">
        <v>287</v>
      </c>
      <c r="D49" s="115" t="s">
        <v>73</v>
      </c>
      <c r="E49" s="115"/>
    </row>
    <row r="50" spans="1:5" s="10" customFormat="1" x14ac:dyDescent="0.35">
      <c r="A50" s="6"/>
      <c r="C50" s="114" t="s">
        <v>30</v>
      </c>
      <c r="D50" s="115" t="s">
        <v>74</v>
      </c>
      <c r="E50" s="115"/>
    </row>
    <row r="51" spans="1:5" s="10" customFormat="1" x14ac:dyDescent="0.35">
      <c r="A51" s="6"/>
      <c r="C51" s="114" t="s">
        <v>288</v>
      </c>
      <c r="D51" s="115" t="s">
        <v>75</v>
      </c>
      <c r="E51" s="115"/>
    </row>
    <row r="52" spans="1:5" s="10" customFormat="1" x14ac:dyDescent="0.35">
      <c r="A52" s="6"/>
      <c r="C52" s="114" t="s">
        <v>43</v>
      </c>
      <c r="D52" s="115" t="s">
        <v>76</v>
      </c>
      <c r="E52" s="115"/>
    </row>
    <row r="53" spans="1:5" s="10" customFormat="1" x14ac:dyDescent="0.35">
      <c r="A53" s="6"/>
      <c r="C53" s="114" t="s">
        <v>289</v>
      </c>
      <c r="D53" s="115" t="s">
        <v>77</v>
      </c>
      <c r="E53" s="115"/>
    </row>
    <row r="54" spans="1:5" s="10" customFormat="1" x14ac:dyDescent="0.35">
      <c r="A54" s="6"/>
      <c r="C54" s="114" t="s">
        <v>37</v>
      </c>
      <c r="D54" s="115" t="s">
        <v>78</v>
      </c>
      <c r="E54" s="115"/>
    </row>
  </sheetData>
  <mergeCells count="16">
    <mergeCell ref="G29:L29"/>
    <mergeCell ref="G25:L25"/>
    <mergeCell ref="D25:F25"/>
    <mergeCell ref="AC2:AC22"/>
    <mergeCell ref="H1:I1"/>
    <mergeCell ref="J1:K1"/>
    <mergeCell ref="M1:N1"/>
    <mergeCell ref="O1:P1"/>
    <mergeCell ref="Q1:R1"/>
    <mergeCell ref="L3:L22"/>
    <mergeCell ref="D26:F26"/>
    <mergeCell ref="D27:F27"/>
    <mergeCell ref="D28:F28"/>
    <mergeCell ref="D29:F29"/>
    <mergeCell ref="G26:L27"/>
    <mergeCell ref="G28:L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31</vt:i4>
      </vt:variant>
      <vt:variant>
        <vt:lpstr>Rangos con nombre</vt:lpstr>
      </vt:variant>
      <vt:variant>
        <vt:i4>16</vt:i4>
      </vt:variant>
    </vt:vector>
  </HeadingPairs>
  <TitlesOfParts>
    <vt:vector size="50" baseType="lpstr">
      <vt:lpstr>Lithium Ion</vt:lpstr>
      <vt:lpstr>Data</vt:lpstr>
      <vt:lpstr>Uncertanties</vt:lpstr>
      <vt:lpstr>03UES_L</vt:lpstr>
      <vt:lpstr>04UOC_L</vt:lpstr>
      <vt:lpstr>05URT_U</vt:lpstr>
      <vt:lpstr>06URT_L</vt:lpstr>
      <vt:lpstr>07UEL_U</vt:lpstr>
      <vt:lpstr>08UFO_L</vt:lpstr>
      <vt:lpstr>08UFO_U</vt:lpstr>
      <vt:lpstr>09UPO_U</vt:lpstr>
      <vt:lpstr>10UTL_L</vt:lpstr>
      <vt:lpstr>10UTL_U</vt:lpstr>
      <vt:lpstr>11UCT_L</vt:lpstr>
      <vt:lpstr>12UEC_L</vt:lpstr>
      <vt:lpstr>12UEC_U</vt:lpstr>
      <vt:lpstr>13UCC_L</vt:lpstr>
      <vt:lpstr>13UCC_U</vt:lpstr>
      <vt:lpstr>14UOP_L</vt:lpstr>
      <vt:lpstr>14UOP_U</vt:lpstr>
      <vt:lpstr>15UFO_L</vt:lpstr>
      <vt:lpstr>16UVO_L</vt:lpstr>
      <vt:lpstr>16UVO_U</vt:lpstr>
      <vt:lpstr>17UES_L</vt:lpstr>
      <vt:lpstr>17UES_U</vt:lpstr>
      <vt:lpstr>18UOC_L</vt:lpstr>
      <vt:lpstr>18UOC_U</vt:lpstr>
      <vt:lpstr>19UAI_L</vt:lpstr>
      <vt:lpstr>19UAI_U</vt:lpstr>
      <vt:lpstr>20ULT_L</vt:lpstr>
      <vt:lpstr>20ULT_U</vt:lpstr>
      <vt:lpstr>21USE_L</vt:lpstr>
      <vt:lpstr>21USE_U</vt:lpstr>
      <vt:lpstr>22UED_L</vt:lpstr>
      <vt:lpstr>'Lithium Ion'!_Ref528590632</vt:lpstr>
      <vt:lpstr>'Lithium Ion'!_Ref528591471</vt:lpstr>
      <vt:lpstr>'Lithium Ion'!_Ref528591483</vt:lpstr>
      <vt:lpstr>'Lithium Ion'!_Ref528591591</vt:lpstr>
      <vt:lpstr>'Lithium Ion'!_Ref528592058</vt:lpstr>
      <vt:lpstr>'Lithium Ion'!_Ref528592236</vt:lpstr>
      <vt:lpstr>'Lithium Ion'!_Ref528593310</vt:lpstr>
      <vt:lpstr>'Lithium Ion'!_Ref528654609</vt:lpstr>
      <vt:lpstr>'Lithium Ion'!_Ref528667067</vt:lpstr>
      <vt:lpstr>'Lithium Ion'!_Ref528668644</vt:lpstr>
      <vt:lpstr>'Lithium Ion'!_Ref528668946</vt:lpstr>
      <vt:lpstr>'Lithium Ion'!_Ref528669041</vt:lpstr>
      <vt:lpstr>'Lithium Ion'!_Ref528669245</vt:lpstr>
      <vt:lpstr>'Lithium Ion'!_Ref528670685</vt:lpstr>
      <vt:lpstr>'Lithium Ion'!_Ref528918119</vt:lpstr>
      <vt:lpstr>'Lithium Ion'!_Toc528918118</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Roberto Ulises Ruiz Saucedo</cp:lastModifiedBy>
  <cp:revision/>
  <dcterms:created xsi:type="dcterms:W3CDTF">2020-01-17T11:30:29Z</dcterms:created>
  <dcterms:modified xsi:type="dcterms:W3CDTF">2020-10-12T22:43:54Z</dcterms:modified>
</cp:coreProperties>
</file>