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03-PROY ALM ENE\04-INFORMES\R-D2\Tablas V11\"/>
    </mc:Choice>
  </mc:AlternateContent>
  <xr:revisionPtr revIDLastSave="0" documentId="13_ncr:1_{70160147-D9BB-4670-B546-8033CB48194D}" xr6:coauthVersionLast="45" xr6:coauthVersionMax="45" xr10:uidLastSave="{00000000-0000-0000-0000-000000000000}"/>
  <bookViews>
    <workbookView xWindow="-120" yWindow="-120" windowWidth="29040" windowHeight="15840" xr2:uid="{00000000-000D-0000-FFFF-FFFF00000000}"/>
  </bookViews>
  <sheets>
    <sheet name="NaS" sheetId="1" r:id="rId1"/>
    <sheet name="Data" sheetId="2" r:id="rId2"/>
    <sheet name="Uncertanties" sheetId="10" r:id="rId3"/>
    <sheet name="03URT_L" sheetId="11" r:id="rId4"/>
    <sheet name="03URT_U" sheetId="12" r:id="rId5"/>
    <sheet name="04UTL_L" sheetId="13" r:id="rId6"/>
    <sheet name="04UTL_U" sheetId="14" r:id="rId7"/>
    <sheet name="05UOP_L" sheetId="15" r:id="rId8"/>
    <sheet name="05UOP_U" sheetId="16" r:id="rId9"/>
    <sheet name="17_EC" sheetId="4" r:id="rId10"/>
    <sheet name="18_CC" sheetId="5" r:id="rId11"/>
    <sheet name="06ULT_L" sheetId="17" r:id="rId12"/>
  </sheets>
  <externalReferences>
    <externalReference r:id="rId13"/>
    <externalReference r:id="rId14"/>
    <externalReference r:id="rId15"/>
  </externalReferences>
  <definedNames>
    <definedName name="BTV11_15">'[1]arbejds ark LARGE New'!$K$33</definedName>
    <definedName name="BVT17_15">'[1]arbejds ark LARGE New'!$S$67</definedName>
    <definedName name="EUR16tilEUR15">'[1]22 Photovoltaics  LARGE Old'!$N$2</definedName>
    <definedName name="Index">#REF!</definedName>
    <definedName name="Sheet">#REF!</definedName>
    <definedName name="Start10" localSheetId="0">'[2]Li-Ion Battery'!#REF!</definedName>
    <definedName name="Start10">'[3]03 Lithium Ion Battery'!#REF!</definedName>
    <definedName name="Start11" localSheetId="0">#REF!</definedName>
    <definedName name="Start12" localSheetId="0">NaS!#REF!</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#REF!</definedName>
    <definedName name="Start6">#REF!</definedName>
    <definedName name="Start7" localSheetId="0">#REF!</definedName>
    <definedName name="Start7">#REF!</definedName>
    <definedName name="Start8" localSheetId="0">[2]CAES!#REF!</definedName>
    <definedName name="Start9" localSheetId="0">[2]Flywheels!#REF!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2" l="1"/>
  <c r="G19" i="2"/>
  <c r="M19" i="2" s="1"/>
  <c r="I21" i="2" l="1"/>
  <c r="I20" i="2"/>
  <c r="G21" i="2"/>
  <c r="M21" i="2" s="1"/>
  <c r="G20" i="2"/>
  <c r="M20" i="2" s="1"/>
  <c r="D8" i="2"/>
  <c r="D7" i="2"/>
  <c r="N20" i="2" l="1"/>
  <c r="E27" i="1" s="1"/>
  <c r="D27" i="1"/>
  <c r="N21" i="2"/>
  <c r="E28" i="1" s="1"/>
  <c r="D28" i="1"/>
  <c r="D5" i="2"/>
  <c r="F5" i="2" s="1"/>
  <c r="H5" i="2" s="1"/>
  <c r="D4" i="2"/>
  <c r="F4" i="2" s="1"/>
  <c r="H4" i="2" s="1"/>
  <c r="D3" i="2"/>
  <c r="F3" i="2" s="1"/>
  <c r="F25" i="2" l="1"/>
  <c r="F24" i="2"/>
  <c r="H3" i="2"/>
  <c r="D25" i="2"/>
  <c r="D24" i="2"/>
  <c r="G12" i="2"/>
  <c r="H25" i="2" l="1"/>
  <c r="H24" i="2"/>
  <c r="H18" i="2"/>
  <c r="E25" i="1" s="1"/>
  <c r="F18" i="2"/>
  <c r="D18" i="2"/>
  <c r="H17" i="2"/>
  <c r="D16" i="2" l="1"/>
  <c r="D22" i="2"/>
  <c r="E24" i="1"/>
  <c r="H22" i="2"/>
  <c r="H16" i="2"/>
  <c r="F22" i="2"/>
  <c r="F16" i="2"/>
  <c r="I28" i="1"/>
  <c r="H28" i="1"/>
  <c r="G28" i="1"/>
  <c r="F28" i="1"/>
  <c r="C28" i="1"/>
  <c r="I27" i="1"/>
  <c r="H27" i="1"/>
  <c r="G27" i="1"/>
  <c r="F27" i="1"/>
  <c r="I34" i="1" l="1"/>
  <c r="I33" i="1"/>
  <c r="H34" i="1"/>
  <c r="H33" i="1"/>
  <c r="F18" i="1"/>
  <c r="L6" i="10"/>
  <c r="R5" i="10"/>
  <c r="O6" i="10"/>
  <c r="S6" i="10" s="1"/>
  <c r="N6" i="10"/>
  <c r="R6" i="10" s="1"/>
  <c r="K6" i="10"/>
  <c r="M6" i="10" s="1"/>
  <c r="I18" i="1" s="1"/>
  <c r="J6" i="10"/>
  <c r="M5" i="10"/>
  <c r="L5" i="10"/>
  <c r="Y5" i="10"/>
  <c r="X5" i="10"/>
  <c r="Y4" i="10"/>
  <c r="O5" i="10"/>
  <c r="N5" i="10"/>
  <c r="K5" i="10"/>
  <c r="G26" i="1" s="1"/>
  <c r="J5" i="10"/>
  <c r="X4" i="10" s="1"/>
  <c r="F16" i="1"/>
  <c r="M4" i="10"/>
  <c r="L4" i="10"/>
  <c r="U3" i="10"/>
  <c r="O4" i="10"/>
  <c r="V4" i="10" s="1"/>
  <c r="N4" i="10"/>
  <c r="U4" i="10" s="1"/>
  <c r="K4" i="10"/>
  <c r="G16" i="1" s="1"/>
  <c r="J4" i="10"/>
  <c r="M3" i="10"/>
  <c r="L3" i="10"/>
  <c r="R2" i="10"/>
  <c r="S3" i="10"/>
  <c r="O3" i="10"/>
  <c r="N3" i="10"/>
  <c r="R3" i="10" s="1"/>
  <c r="K3" i="10"/>
  <c r="S2" i="10" s="1"/>
  <c r="J3" i="10"/>
  <c r="F10" i="1" s="1"/>
  <c r="F11" i="1" s="1"/>
  <c r="F12" i="1" s="1"/>
  <c r="C11" i="1"/>
  <c r="C12" i="1" s="1"/>
  <c r="G18" i="1" l="1"/>
  <c r="V3" i="10"/>
  <c r="F26" i="1"/>
  <c r="S5" i="10"/>
  <c r="G10" i="1"/>
  <c r="G11" i="1" s="1"/>
  <c r="G12" i="1" s="1"/>
  <c r="I8" i="1"/>
  <c r="I9" i="1" s="1"/>
  <c r="H8" i="1"/>
  <c r="H31" i="1" s="1"/>
  <c r="G8" i="1"/>
  <c r="F8" i="1"/>
  <c r="I32" i="1" l="1"/>
  <c r="F32" i="1"/>
  <c r="F31" i="1"/>
  <c r="G32" i="1"/>
  <c r="G31" i="1"/>
  <c r="I31" i="1"/>
  <c r="F9" i="1"/>
  <c r="H32" i="1"/>
  <c r="G9" i="1"/>
  <c r="H9" i="1"/>
  <c r="P5" i="2"/>
  <c r="P4" i="2"/>
  <c r="F30" i="1"/>
  <c r="G23" i="1" l="1"/>
  <c r="F23" i="1"/>
  <c r="G30" i="1"/>
  <c r="E8" i="1"/>
  <c r="D8" i="1"/>
  <c r="C8" i="1"/>
  <c r="C23" i="1" l="1"/>
  <c r="C30" i="1"/>
  <c r="C9" i="1"/>
  <c r="C31" i="1"/>
  <c r="D9" i="1"/>
  <c r="D31" i="1"/>
  <c r="D32" i="1"/>
  <c r="C32" i="1"/>
  <c r="E9" i="1"/>
  <c r="E31" i="1"/>
  <c r="E32" i="1"/>
  <c r="I12" i="2" l="1"/>
  <c r="M12" i="2"/>
  <c r="I6" i="2"/>
  <c r="G6" i="2"/>
  <c r="M6" i="2" s="1"/>
  <c r="F8" i="2" l="1"/>
  <c r="F7" i="2"/>
  <c r="D10" i="1"/>
  <c r="N12" i="2"/>
  <c r="E16" i="1" s="1"/>
  <c r="N6" i="2"/>
  <c r="D26" i="1"/>
  <c r="N19" i="2"/>
  <c r="E26" i="1" s="1"/>
  <c r="D16" i="1"/>
  <c r="E10" i="1" l="1"/>
  <c r="E11" i="1" s="1"/>
  <c r="E12" i="1" s="1"/>
  <c r="H8" i="2"/>
  <c r="H7" i="2"/>
  <c r="I10" i="1"/>
  <c r="I11" i="1" s="1"/>
  <c r="I12" i="1" s="1"/>
  <c r="D11" i="1"/>
  <c r="D12" i="1" s="1"/>
  <c r="H10" i="1"/>
  <c r="H11" i="1" s="1"/>
  <c r="H12" i="1" s="1"/>
  <c r="I26" i="1"/>
  <c r="H26" i="1"/>
  <c r="D30" i="1"/>
  <c r="D23" i="1"/>
  <c r="I16" i="1"/>
  <c r="H16" i="1"/>
  <c r="E30" i="1"/>
  <c r="E23" i="1"/>
  <c r="H23" i="1" l="1"/>
  <c r="H30" i="1"/>
  <c r="I30" i="1"/>
  <c r="I23" i="1"/>
</calcChain>
</file>

<file path=xl/sharedStrings.xml><?xml version="1.0" encoding="utf-8"?>
<sst xmlns="http://schemas.openxmlformats.org/spreadsheetml/2006/main" count="281" uniqueCount="194">
  <si>
    <t>Technology</t>
  </si>
  <si>
    <t>NaS battery</t>
  </si>
  <si>
    <t>Uncertainty (2020)</t>
  </si>
  <si>
    <t>Note</t>
  </si>
  <si>
    <t>Ref</t>
  </si>
  <si>
    <t>Energy/technical data</t>
  </si>
  <si>
    <t>Lower</t>
  </si>
  <si>
    <t>Upper</t>
  </si>
  <si>
    <t>Upper </t>
  </si>
  <si>
    <t>Form of energy stored</t>
  </si>
  <si>
    <t>Electro-chemical</t>
  </si>
  <si>
    <t>Application</t>
  </si>
  <si>
    <t>Energy storage capacity for one unit (MWh)</t>
  </si>
  <si>
    <t>[1]</t>
  </si>
  <si>
    <t>Output capacity for one unit (MW)</t>
  </si>
  <si>
    <t>Input capacity for one unit (MW)</t>
  </si>
  <si>
    <t>A</t>
  </si>
  <si>
    <t>Round trip efficiency - DC (%)</t>
  </si>
  <si>
    <t>average</t>
  </si>
  <si>
    <t>[2], [3], [4], [5]</t>
  </si>
  <si>
    <t>[2]</t>
  </si>
  <si>
    <t xml:space="preserve"> - Discharge efficiency (%)</t>
  </si>
  <si>
    <t>Energy losses during storage (%/day)</t>
  </si>
  <si>
    <t>Forced outage (%)</t>
  </si>
  <si>
    <t>B</t>
  </si>
  <si>
    <t>Planned outage (weeks per year)</t>
  </si>
  <si>
    <t>C</t>
  </si>
  <si>
    <t>Technical lifetime (years)</t>
  </si>
  <si>
    <t xml:space="preserve"> [2], [4], [5]</t>
  </si>
  <si>
    <t>Construction time (years)</t>
  </si>
  <si>
    <t xml:space="preserve"> [2]</t>
  </si>
  <si>
    <t>Regulation ability</t>
  </si>
  <si>
    <t>Response time from idle to full-rated discharge (sec)</t>
  </si>
  <si>
    <t>D</t>
  </si>
  <si>
    <t>Response time from full-rated charge to full-rated discharge (sec)</t>
  </si>
  <si>
    <t xml:space="preserve">Financial data                                 </t>
  </si>
  <si>
    <t xml:space="preserve"> - energy component (MUSD/MWh)</t>
  </si>
  <si>
    <t xml:space="preserve"> - capacity component (MUSD/MW) </t>
  </si>
  <si>
    <t>G</t>
  </si>
  <si>
    <t xml:space="preserve"> - other project costs (MUSD/MWh)</t>
  </si>
  <si>
    <t>H</t>
  </si>
  <si>
    <t>I</t>
  </si>
  <si>
    <t>Technology specific data</t>
  </si>
  <si>
    <t>Alternative Investment cost (MUSD2020/MW)</t>
  </si>
  <si>
    <t>Lifetime in total number of cycles</t>
  </si>
  <si>
    <t>Specific power (W/kg)</t>
  </si>
  <si>
    <t>Power density (W/m3)</t>
  </si>
  <si>
    <t>Specific energy (Wh/kg)</t>
  </si>
  <si>
    <t>Energy density (Wh/m3)</t>
  </si>
  <si>
    <t>Notes:</t>
  </si>
  <si>
    <t>Assumed to be the same as output</t>
  </si>
  <si>
    <t>Forced outage is minimal. Only reported case is a 2011 fire incident</t>
  </si>
  <si>
    <t>On the order of 1 h per year.</t>
  </si>
  <si>
    <t>Due to absence of predictions in literature, no development is assumed as an estimate.</t>
  </si>
  <si>
    <t>In the absence of data, it is inferred from the round trip efficiency which is assumed as the product of charge and discharge efficiency and is considered equal, also due to the lack of data</t>
  </si>
  <si>
    <t>References</t>
  </si>
  <si>
    <t>IRENA (2017). Electricity storage and renewables: Costs and markets to 2030. Cost of service tool. Available in: https://www.irena.org/publications/2017/Oct/Electricity-storage-and-renewables-costs-and-markets</t>
  </si>
  <si>
    <t>Danish Energy Agency. (2019). Technogy Data for Energy Storage. Copenhagen, Denmark. Retrieved from https://ens.dk/sites/ens.dk/files/Analyser/technology_data_catalogue_for_energy_storage.pdf</t>
  </si>
  <si>
    <t>[3]</t>
  </si>
  <si>
    <t>Subburaj, A. S., Pushpakaran, B. N., &amp; Bayne, S. B. (2015). Overview of grid connected renewable energy based battery projects in USA. Renewable and Sustainable Energy Reviews, 45, 219–234. https://doi.org/https://doi.org/10.1016/j.rser.2015.01.052</t>
  </si>
  <si>
    <t>[4]</t>
  </si>
  <si>
    <t>IRENA, Battery storage technology improvements and cost reductions to 2030: A Deep Dive, March 2017, https://www.irena.org/-/media/Files/IRENA/Agency/Events/2017/Mar/15/2017_Kairies_Battery_Cost_and_Performance_01.pd</t>
  </si>
  <si>
    <t>[5]</t>
  </si>
  <si>
    <t>Exchange ratio between the years 2030 and 2020</t>
  </si>
  <si>
    <t>Exchange ratio between the years 2050 and 2030</t>
  </si>
  <si>
    <t>Technical Data</t>
  </si>
  <si>
    <t>30 - 20</t>
  </si>
  <si>
    <t>50 - 30</t>
  </si>
  <si>
    <t>Reference</t>
  </si>
  <si>
    <t>Lifetime in Total Number of Cycle</t>
  </si>
  <si>
    <t>Specific Energy (Wh/kg)</t>
  </si>
  <si>
    <t>Energy Density (Wh/m3)</t>
  </si>
  <si>
    <t>Frequency Restoration Reserve (2h)</t>
  </si>
  <si>
    <t>[1], [2]</t>
  </si>
  <si>
    <t>[6]</t>
  </si>
  <si>
    <t>Uncertainty (2030)</t>
  </si>
  <si>
    <t>[7]</t>
  </si>
  <si>
    <t>Variable O&amp;M (USD2020/MWh)</t>
  </si>
  <si>
    <t>C rate</t>
  </si>
  <si>
    <t>2020 (Uncertainty)</t>
  </si>
  <si>
    <t>2050 (Uncertainty)</t>
  </si>
  <si>
    <t>Exchange ratio 2020</t>
  </si>
  <si>
    <t>Exchange ratio 2030</t>
  </si>
  <si>
    <t>Exchange ratio 2050</t>
  </si>
  <si>
    <t>Year</t>
  </si>
  <si>
    <t>Lower (%)</t>
  </si>
  <si>
    <t>Upper (%)</t>
  </si>
  <si>
    <t xml:space="preserve">Lifetime in Total Number of Cycles </t>
  </si>
  <si>
    <t>Schmidt, O., Melchior, S., Hawkes, A., &amp; Staffell, I. (2019). Projecting the Future Levelized Cost of Electricity Storage Technologies. Joule, 3(1), 81–100. https://doi.org/10.1016/j.joule.2018.12.008</t>
  </si>
  <si>
    <t>Fixed O&amp;M (kUSD2020/MW)</t>
  </si>
  <si>
    <t>E</t>
  </si>
  <si>
    <t>F</t>
  </si>
  <si>
    <t>G,H,I</t>
  </si>
  <si>
    <t xml:space="preserve">Not the technological maximum values, i.e., the density of single cells, but the specifications for a full market-standard commercial product.  </t>
  </si>
  <si>
    <t>Uncertainties are based on a qualified guess.</t>
  </si>
  <si>
    <t>Specific power and power density wer upscaled from [2] taking into account the different energy to power ratio</t>
  </si>
  <si>
    <t>Data for standard NGK container unit, based on NGK Insulators LTD, “Structure of NAS Energy Storage System,” 2016. [Online]. Available: https://www.ngk.co.jp/nas/specs/.</t>
  </si>
  <si>
    <t>ABB</t>
  </si>
  <si>
    <t>ESC</t>
  </si>
  <si>
    <t>OCO</t>
  </si>
  <si>
    <t>ICO</t>
  </si>
  <si>
    <t>RTE</t>
  </si>
  <si>
    <t>CE</t>
  </si>
  <si>
    <t>DE</t>
  </si>
  <si>
    <t>ELS</t>
  </si>
  <si>
    <t>FO</t>
  </si>
  <si>
    <t>PO</t>
  </si>
  <si>
    <t>TL</t>
  </si>
  <si>
    <t>CT</t>
  </si>
  <si>
    <t>RTI</t>
  </si>
  <si>
    <t>RTF</t>
  </si>
  <si>
    <t>SI</t>
  </si>
  <si>
    <t>EC</t>
  </si>
  <si>
    <t>CC</t>
  </si>
  <si>
    <t>OPC</t>
  </si>
  <si>
    <t>FOM</t>
  </si>
  <si>
    <t>VOM</t>
  </si>
  <si>
    <t>AIC</t>
  </si>
  <si>
    <t>LTN</t>
  </si>
  <si>
    <t>SP</t>
  </si>
  <si>
    <t>PD</t>
  </si>
  <si>
    <t>SE</t>
  </si>
  <si>
    <t>ED</t>
  </si>
  <si>
    <t>NOTE</t>
  </si>
  <si>
    <t>Specific investment (MUSD2020 per MWh)</t>
  </si>
  <si>
    <t xml:space="preserve"> [1]</t>
  </si>
  <si>
    <t>Prodecure followed to determine the projection</t>
  </si>
  <si>
    <t>Prodecure followed to determine the projection in according with the exchange ratio</t>
  </si>
  <si>
    <t>1. The data for 2020 is a point data types for this year, historical data is not available. 2. The projections have a similar numerical behaviour to the datasheet from [2]</t>
  </si>
  <si>
    <r>
      <t xml:space="preserve">Diaz-Gonzalez, F., Sumper, A., &amp; Gomis-Bellmunt, O. (2016). Energy Storage Technologies. In </t>
    </r>
    <r>
      <rPr>
        <i/>
        <sz val="10"/>
        <color theme="1"/>
        <rFont val="Montserrat Medium"/>
        <family val="3"/>
      </rPr>
      <t>Energy Storage in Power Systems</t>
    </r>
    <r>
      <rPr>
        <sz val="10"/>
        <color theme="1"/>
        <rFont val="Montserrat Medium"/>
        <family val="3"/>
      </rPr>
      <t xml:space="preserve"> (pp. 93–141). John Wiley &amp; Sons, Ltd. https://doi.org/10.1002/9781118971291.ch4</t>
    </r>
  </si>
  <si>
    <r>
      <t xml:space="preserve">Zakeri, B., &amp; Syri, S. (2015). Electrical energy storage systems: A comparative life cycle cost analysis.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42</t>
    </r>
    <r>
      <rPr>
        <sz val="10"/>
        <color theme="1"/>
        <rFont val="Montserrat Medium"/>
        <family val="3"/>
      </rPr>
      <t>, 569–596. https://doi.org/10.1016/j.rser.2014.10.011</t>
    </r>
  </si>
  <si>
    <r>
      <t xml:space="preserve">Alternative Investment Cost </t>
    </r>
    <r>
      <rPr>
        <sz val="10"/>
        <color theme="1"/>
        <rFont val="Montserrat Medium"/>
        <family val="3"/>
      </rPr>
      <t>(MUSD2020 per MW)</t>
    </r>
  </si>
  <si>
    <r>
      <t>Specific Power</t>
    </r>
    <r>
      <rPr>
        <sz val="10"/>
        <color theme="1"/>
        <rFont val="Montserrat Medium"/>
        <family val="3"/>
      </rPr>
      <t xml:space="preserve"> (W/kg)</t>
    </r>
  </si>
  <si>
    <r>
      <t>Power Density</t>
    </r>
    <r>
      <rPr>
        <sz val="10"/>
        <color theme="1"/>
        <rFont val="Montserrat Medium"/>
        <family val="3"/>
      </rPr>
      <t xml:space="preserve"> (W/m3)</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</si>
  <si>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</si>
  <si>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</si>
  <si>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Input Capacity for One Unit</t>
    </r>
    <r>
      <rPr>
        <sz val="10"/>
        <color theme="1"/>
        <rFont val="Montserrat Medium"/>
        <family val="3"/>
      </rPr>
      <t xml:space="preserve"> (MW)</t>
    </r>
  </si>
  <si>
    <r>
      <t xml:space="preserve">Round Trip Efficiency </t>
    </r>
    <r>
      <rPr>
        <sz val="10"/>
        <color theme="1"/>
        <rFont val="Montserrat Medium"/>
        <family val="3"/>
      </rPr>
      <t>(%)</t>
    </r>
  </si>
  <si>
    <r>
      <t xml:space="preserve">Charge Efficiency </t>
    </r>
    <r>
      <rPr>
        <sz val="10"/>
        <color theme="1"/>
        <rFont val="Montserrat Medium"/>
        <family val="3"/>
      </rPr>
      <t>(%)</t>
    </r>
  </si>
  <si>
    <r>
      <t xml:space="preserve">Discharge Efficiency </t>
    </r>
    <r>
      <rPr>
        <sz val="10"/>
        <color theme="1"/>
        <rFont val="Montserrat Medium"/>
        <family val="3"/>
      </rPr>
      <t>(%)</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</si>
  <si>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</si>
  <si>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</si>
  <si>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</si>
  <si>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Technical Lifetime </t>
    </r>
    <r>
      <rPr>
        <sz val="10"/>
        <color theme="1"/>
        <rFont val="Montserrat Medium"/>
        <family val="3"/>
      </rPr>
      <t>(years)</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</si>
  <si>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</si>
  <si>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</si>
  <si>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</si>
  <si>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(MUSD2015 per MWh)</t>
    </r>
  </si>
  <si>
    <r>
      <t xml:space="preserve">Energy Component </t>
    </r>
    <r>
      <rPr>
        <sz val="10"/>
        <color theme="1"/>
        <rFont val="Montserrat Medium"/>
        <family val="3"/>
      </rPr>
      <t>(MUSD2015 per MWh)</t>
    </r>
  </si>
  <si>
    <r>
      <t xml:space="preserve">Capacity Component </t>
    </r>
    <r>
      <rPr>
        <sz val="10"/>
        <color theme="1"/>
        <rFont val="Montserrat Medium"/>
        <family val="3"/>
      </rPr>
      <t>(MUSD per MW)</t>
    </r>
  </si>
  <si>
    <r>
      <t xml:space="preserve">Other Project Costs </t>
    </r>
    <r>
      <rPr>
        <sz val="10"/>
        <color theme="1"/>
        <rFont val="Montserrat Medium"/>
        <family val="3"/>
      </rPr>
      <t>(MUSD/MWh)</t>
    </r>
  </si>
  <si>
    <r>
      <t xml:space="preserve">Fixed O&amp;M </t>
    </r>
    <r>
      <rPr>
        <sz val="10"/>
        <color theme="1"/>
        <rFont val="Montserrat Medium"/>
        <family val="3"/>
      </rPr>
      <t>(MUSD2020/kW/year)</t>
    </r>
  </si>
  <si>
    <r>
      <t xml:space="preserve">Variable O&amp;M </t>
    </r>
    <r>
      <rPr>
        <sz val="10"/>
        <color theme="1"/>
        <rFont val="Montserrat Medium"/>
        <family val="3"/>
      </rPr>
      <t>(MUSD2020/MW/year)</t>
    </r>
  </si>
  <si>
    <r>
      <t xml:space="preserve">Projection in according with the exchange ratio </t>
    </r>
    <r>
      <rPr>
        <sz val="10"/>
        <color theme="1"/>
        <rFont val="Montserrat Medium"/>
        <family val="3"/>
      </rPr>
      <t>(2030-2020 and 2050-2030)</t>
    </r>
  </si>
  <si>
    <r>
      <t xml:space="preserve">1. The trend of the data for these parameters (in this case exponential decrease) was identified in reference [2] for NaS. 2. The data of years 2016, 2020, 2025, and 2030 was obtained from [1]. 
3. See the exponential projection in bottom flap called </t>
    </r>
    <r>
      <rPr>
        <b/>
        <sz val="10"/>
        <color theme="1"/>
        <rFont val="Montserrat Medium"/>
        <family val="3"/>
      </rPr>
      <t>17_EC and 18_CC.</t>
    </r>
  </si>
  <si>
    <r>
      <t xml:space="preserve">Other Project Cost </t>
    </r>
    <r>
      <rPr>
        <sz val="10"/>
        <color theme="1"/>
        <rFont val="Montserrat Medium"/>
        <family val="3"/>
      </rPr>
      <t>(MUSD/MWh)</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</si>
  <si>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</si>
  <si>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</si>
  <si>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 xml:space="preserve">Input capacity for one unit </t>
    </r>
    <r>
      <rPr>
        <sz val="10"/>
        <color theme="1"/>
        <rFont val="Montserrat Medium"/>
        <family val="3"/>
      </rPr>
      <t>(MW)</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</si>
  <si>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</si>
  <si>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</si>
  <si>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</si>
  <si>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</si>
  <si>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</si>
  <si>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</si>
  <si>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(MUSD2020 per MWh)</t>
    </r>
  </si>
  <si>
    <r>
      <t xml:space="preserve">  -Energy component </t>
    </r>
    <r>
      <rPr>
        <sz val="10"/>
        <color theme="1"/>
        <rFont val="Montserrat Medium"/>
        <family val="3"/>
      </rPr>
      <t>(MUSD2020/MWh)</t>
    </r>
  </si>
  <si>
    <r>
      <t xml:space="preserve">  -Capacity component </t>
    </r>
    <r>
      <rPr>
        <sz val="10"/>
        <color theme="1"/>
        <rFont val="Montserrat Medium"/>
        <family val="3"/>
      </rPr>
      <t>(MUSD2020/MW)</t>
    </r>
  </si>
  <si>
    <r>
      <t xml:space="preserve">Fixed O&amp;M </t>
    </r>
    <r>
      <rPr>
        <sz val="10"/>
        <color theme="1"/>
        <rFont val="Montserrat Medium"/>
        <family val="3"/>
      </rPr>
      <t>(MUSD2020/MW/year)</t>
    </r>
  </si>
  <si>
    <r>
      <t xml:space="preserve">Variable O&amp;M </t>
    </r>
    <r>
      <rPr>
        <sz val="10"/>
        <color theme="1"/>
        <rFont val="Montserrat Medium"/>
        <family val="3"/>
      </rPr>
      <t>(USD2020/MWh/year)</t>
    </r>
  </si>
  <si>
    <r>
      <t xml:space="preserve">Alternative investment cost </t>
    </r>
    <r>
      <rPr>
        <sz val="10"/>
        <color theme="1"/>
        <rFont val="Montserrat Medium"/>
        <family val="3"/>
      </rPr>
      <t>(MUSD2020 per MW)</t>
    </r>
  </si>
  <si>
    <r>
      <t xml:space="preserve">Specific power </t>
    </r>
    <r>
      <rPr>
        <sz val="10"/>
        <color theme="1"/>
        <rFont val="Montserrat Medium"/>
        <family val="3"/>
      </rPr>
      <t>(W/kg)</t>
    </r>
  </si>
  <si>
    <r>
      <t xml:space="preserve">Power density </t>
    </r>
    <r>
      <rPr>
        <sz val="10"/>
        <color theme="1"/>
        <rFont val="Montserrat Medium"/>
        <family val="3"/>
      </rPr>
      <t>(kW/m3)</t>
    </r>
  </si>
  <si>
    <r>
      <t>Specific energy</t>
    </r>
    <r>
      <rPr>
        <sz val="10"/>
        <color theme="1"/>
        <rFont val="Montserrat Medium"/>
        <family val="3"/>
      </rPr>
      <t xml:space="preserve"> (Wh/kg)</t>
    </r>
  </si>
  <si>
    <r>
      <t xml:space="preserve">Energy density </t>
    </r>
    <r>
      <rPr>
        <sz val="10"/>
        <color theme="1"/>
        <rFont val="Montserrat Medium"/>
        <family val="3"/>
      </rPr>
      <t>(kWh/m3)</t>
    </r>
  </si>
  <si>
    <t>1.  The data of years 2015, 2020, 2030, and 2050 showed in this sheets from [2]. 2. The selected data for 2020 is a point data types from [2-5]. 3. The projections have similar numerical behavior to [2] with the estimated exchange ratio applied to estimated the projection of the value from [2-5].</t>
  </si>
  <si>
    <t>1. This technical data was calculated with an equation for Round Trip Efficiency (see Flywheels sheet).   2. In the chapter of Introduccion of the Catalogue, it is defined the equation of Round Trip Efficiency.</t>
  </si>
  <si>
    <t>1. The data for years 2016, 2020, 2025, and 2030 was obtained from [1]. 2. This data is used within the IRENA tool as "Usable Storage Capacity" and "Installed Storage Power". 3. It is considered these parameters will not have a variation in the period 2030-2050 due it technological maturity.</t>
  </si>
  <si>
    <t>1. The trend of the data for these parameters (in this case constant) was identified in reference [1] for NaS. 2. This data is used within the IRENA tool as "Self-discharge". 3. It is considered these parameters will not have a variation in the period 2030-2050 due it technological maturity.</t>
  </si>
  <si>
    <t>1.  The data of years 2015, 2020, 2030, and 2050 showed in this sheets from [2].</t>
  </si>
  <si>
    <t>1.  The data of years 2015, 2020, 2030, and 2050 showed in this sheets from [2]. 2. The selected data for 2020 is a point data types from [2, 4, 5]. 3. The projections have similar numerical behavior to [2] with the estimated exchange ratio applied to estimated the projection of the value from [2, 4, 5].</t>
  </si>
  <si>
    <t>1. This parameter data was calculated with an equation for Specific Investment (see Lithium Ion sheet). 2. In the chapter of Introduccion of the Catalogue, it is defined the equation of Specific Investment.</t>
  </si>
  <si>
    <t>1.  The data of years 2015, 2020, 2030, and 2050 showed in this sheets from [2]. 2. The selected data for 2020 is a point data types from [7]. 3. The projections have similar numerical behavior to [2] with the estimated exchange ratio applied to estimated the projection of the value from [7].</t>
  </si>
  <si>
    <t>1. This data was calculated with an Alternative Investment Cost equation (see NaS sheet). 2. In the chapter of Introduccion of the Catalogue, it is defined the equation of Alternative Investment Cost.</t>
  </si>
  <si>
    <t>1. This technical data was calculated with a Specific Power equation (see LA sheet). 2. In the chapter of Introduccion of the Catalogue, it is defined the equation of Specific Power.</t>
  </si>
  <si>
    <t>1. This technical data was calculated with a Power Density equation (see LA sheet). 2. In the chapter of Introduccion of the Catalogue, it is defined the equation of Power Density.</t>
  </si>
  <si>
    <t>1. The uncertainty for these parameters has the same to [2] because the design is based on the same operational capacities of the energy storage system.</t>
  </si>
  <si>
    <t>1. The uncertainty is calculated with the similar numerical behaviour from [2]. 
2. The exchange ratio for 2030 is estimated by linear regression between the exchange ratio 2020 and 2050.</t>
  </si>
  <si>
    <t>1. The uncertainty for these parameters has the same to [1] because the design is based on the same operational capacities of the energy storage system.</t>
  </si>
  <si>
    <t>1. The uncertainty is the same as [7], to keep the consistency between data (see Table A5 in this reference)</t>
  </si>
  <si>
    <t>1. This technical data was calculated with a Specific Power equation (see NaS sheet). 2. In the chapter of Introduccion of the Catalogue, it is defined the equation of Specific Power.</t>
  </si>
  <si>
    <t>1. This technical data was calculated with a Power Density equation (see Na sheet). 2. In the chapter of Introduccion of the Catalogue, it is defined the equation of Power Density.</t>
  </si>
  <si>
    <t>1. The uncertainty for these parameters has the same behaviour to [1] because the design is based on the same operational capacities of the energy storage system. 2. This data is located within the IRENA tool as "Usable Storage Capacity" and "Installed storage power"</t>
  </si>
  <si>
    <r>
      <t xml:space="preserve"> - </t>
    </r>
    <r>
      <rPr>
        <i/>
        <sz val="9"/>
        <color theme="1"/>
        <rFont val="Montserrat Medium"/>
        <family val="3"/>
      </rPr>
      <t>Charge efficiency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</si>
</sst>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00"/>
    <numFmt numFmtId="167" formatCode="0.0000"/>
    <numFmt numFmtId="168" formatCode="0.00000"/>
  </numFmts>
  <fonts count="21" x14ac:knownFonts="1">
    <font>
      <sz val="11"/>
      <color theme="1"/>
      <name val="Calibri"/>
      <family val="2"/>
      <scheme val="minor"/>
    </font>
    <font>
      <sz val="11"/>
      <color theme="1"/>
      <name val="Calibri"/>
      <family val="2"/>
      <scheme val="minor"/>
    </font>
    <font>
      <sz val="10"/>
      <name val="Helv"/>
    </font>
    <font>
      <u/>
      <sz val="10"/>
      <color indexed="12"/>
      <name val="Arial"/>
      <family val="2"/>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11"/>
      <color theme="1"/>
      <name val="Montserrat Medium"/>
      <family val="3"/>
    </font>
    <font>
      <sz val="10"/>
      <color theme="1"/>
      <name val="Montserrat Medium"/>
      <family val="3"/>
    </font>
    <font>
      <b/>
      <sz val="10"/>
      <name val="Montserrat Medium"/>
      <family val="3"/>
    </font>
    <font>
      <b/>
      <sz val="10"/>
      <color theme="1"/>
      <name val="Montserrat Medium"/>
      <family val="3"/>
    </font>
    <font>
      <i/>
      <sz val="10"/>
      <color theme="1"/>
      <name val="Montserrat Medium"/>
      <family val="3"/>
    </font>
    <font>
      <sz val="10"/>
      <color rgb="FF0097A7"/>
      <name val="Montserrat Medium"/>
      <family val="3"/>
    </font>
    <font>
      <b/>
      <sz val="11"/>
      <color theme="1"/>
      <name val="Montserrat Medium"/>
      <family val="3"/>
    </font>
    <font>
      <sz val="9"/>
      <color theme="1"/>
      <name val="Montserrat Medium"/>
      <family val="3"/>
    </font>
    <font>
      <b/>
      <sz val="9"/>
      <color theme="1"/>
      <name val="Montserrat Medium"/>
      <family val="3"/>
    </font>
    <font>
      <sz val="9"/>
      <color rgb="FF000000"/>
      <name val="Montserrat Medium"/>
      <family val="3"/>
    </font>
    <font>
      <i/>
      <sz val="9"/>
      <color theme="1"/>
      <name val="Montserrat Medium"/>
      <family val="3"/>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4">
    <xf numFmtId="0" fontId="0" fillId="0" borderId="0" applyFill="0" applyBorder="0" applyProtection="0"/>
    <xf numFmtId="43"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2" borderId="8" applyNumberFormat="0" applyAlignment="0" applyProtection="0"/>
    <xf numFmtId="43"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0" borderId="0"/>
    <xf numFmtId="0" fontId="2" fillId="0" borderId="0"/>
    <xf numFmtId="0" fontId="1" fillId="0" borderId="0"/>
    <xf numFmtId="0" fontId="7" fillId="0" borderId="0"/>
    <xf numFmtId="0" fontId="7" fillId="0" borderId="0"/>
    <xf numFmtId="0" fontId="8" fillId="4" borderId="9" applyNumberFormat="0" applyAlignment="0" applyProtection="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10" applyNumberFormat="0" applyFill="0" applyAlignment="0" applyProtection="0"/>
    <xf numFmtId="9" fontId="1" fillId="0" borderId="0" applyFont="0" applyFill="0" applyBorder="0" applyAlignment="0" applyProtection="0"/>
  </cellStyleXfs>
  <cellXfs count="117">
    <xf numFmtId="0" fontId="0" fillId="0" borderId="0" xfId="0"/>
    <xf numFmtId="0" fontId="11" fillId="0" borderId="0" xfId="14" applyFont="1" applyFill="1"/>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0" xfId="0" applyFont="1" applyFill="1" applyAlignment="1">
      <alignment horizontal="left" vertical="center"/>
    </xf>
    <xf numFmtId="0" fontId="11" fillId="0" borderId="0" xfId="0" applyFont="1" applyFill="1"/>
    <xf numFmtId="0" fontId="13" fillId="0" borderId="1" xfId="0" applyFont="1" applyFill="1" applyBorder="1" applyAlignment="1">
      <alignment horizontal="center" vertical="center" wrapText="1"/>
    </xf>
    <xf numFmtId="0" fontId="11" fillId="0" borderId="0" xfId="0" applyFont="1" applyFill="1" applyAlignment="1">
      <alignment horizontal="left" vertical="center" readingOrder="1"/>
    </xf>
    <xf numFmtId="0" fontId="11" fillId="0" borderId="0" xfId="0" applyFont="1" applyFill="1" applyAlignment="1">
      <alignment horizontal="center" vertical="center" wrapText="1"/>
    </xf>
    <xf numFmtId="0" fontId="11" fillId="0" borderId="0" xfId="0" applyFont="1" applyFill="1" applyAlignment="1">
      <alignment horizontal="justify" vertical="center" wrapText="1"/>
    </xf>
    <xf numFmtId="0" fontId="11" fillId="0" borderId="0" xfId="0" applyFont="1" applyFill="1" applyAlignment="1">
      <alignment horizontal="right" vertical="center"/>
    </xf>
    <xf numFmtId="0" fontId="11" fillId="0" borderId="0" xfId="0" applyFont="1" applyFill="1" applyAlignment="1">
      <alignment horizontal="left" vertical="center" wrapText="1"/>
    </xf>
    <xf numFmtId="0" fontId="11" fillId="0" borderId="0" xfId="0" applyFont="1" applyFill="1" applyAlignment="1">
      <alignment horizontal="justify" vertical="center"/>
    </xf>
    <xf numFmtId="0" fontId="16" fillId="0" borderId="0" xfId="0" applyFont="1" applyFill="1" applyAlignment="1">
      <alignment horizontal="justify" vertical="center"/>
    </xf>
    <xf numFmtId="0" fontId="12" fillId="0" borderId="0" xfId="0" applyFont="1" applyFill="1" applyAlignment="1">
      <alignment horizontal="right" vertical="center"/>
    </xf>
    <xf numFmtId="0" fontId="11" fillId="0" borderId="0" xfId="13" applyFont="1" applyFill="1"/>
    <xf numFmtId="0" fontId="11" fillId="0" borderId="0" xfId="0" applyFont="1" applyFill="1" applyAlignment="1">
      <alignment horizontal="right"/>
    </xf>
    <xf numFmtId="0" fontId="11" fillId="0" borderId="0" xfId="0" applyFont="1" applyFill="1" applyAlignment="1">
      <alignment vertical="center" wrapText="1"/>
    </xf>
    <xf numFmtId="0" fontId="15" fillId="0" borderId="0" xfId="0" applyFont="1" applyFill="1" applyAlignment="1">
      <alignment horizontal="justify" vertical="center"/>
    </xf>
    <xf numFmtId="0" fontId="11" fillId="0" borderId="0" xfId="0" applyFont="1" applyFill="1" applyAlignment="1">
      <alignment horizontal="left" vertical="center"/>
    </xf>
    <xf numFmtId="0" fontId="11" fillId="0" borderId="0" xfId="0" applyFont="1" applyFill="1" applyAlignment="1">
      <alignment horizontal="left"/>
    </xf>
    <xf numFmtId="0" fontId="10" fillId="0" borderId="0" xfId="0" applyFont="1" applyFill="1"/>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13" fillId="0" borderId="0" xfId="0" applyFont="1" applyFill="1" applyAlignment="1">
      <alignment horizontal="left" vertical="center" wrapText="1"/>
    </xf>
    <xf numFmtId="0" fontId="10"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xf>
    <xf numFmtId="0" fontId="16" fillId="0" borderId="0" xfId="0" applyFont="1" applyFill="1" applyAlignment="1">
      <alignment horizontal="center"/>
    </xf>
    <xf numFmtId="165" fontId="11" fillId="0" borderId="0" xfId="23" applyNumberFormat="1" applyFont="1" applyFill="1" applyAlignment="1">
      <alignment horizontal="center" vertical="center" wrapText="1"/>
    </xf>
    <xf numFmtId="165" fontId="11" fillId="0" borderId="0" xfId="0" applyNumberFormat="1" applyFont="1" applyFill="1" applyAlignment="1">
      <alignment horizontal="center" vertical="center" wrapText="1"/>
    </xf>
    <xf numFmtId="165" fontId="11" fillId="0" borderId="0" xfId="0" applyNumberFormat="1" applyFont="1" applyFill="1" applyAlignment="1">
      <alignment horizontal="center" vertical="center"/>
    </xf>
    <xf numFmtId="168" fontId="10" fillId="0" borderId="0" xfId="0" applyNumberFormat="1" applyFont="1" applyFill="1" applyAlignment="1">
      <alignment horizontal="center" vertical="center"/>
    </xf>
    <xf numFmtId="167" fontId="11" fillId="0" borderId="0" xfId="23" applyNumberFormat="1" applyFont="1" applyFill="1" applyAlignment="1">
      <alignment horizontal="center" vertical="center" wrapText="1"/>
    </xf>
    <xf numFmtId="1" fontId="11" fillId="0" borderId="0" xfId="0" applyNumberFormat="1" applyFont="1" applyFill="1" applyAlignment="1">
      <alignment horizontal="center" vertical="center" wrapText="1"/>
    </xf>
    <xf numFmtId="1" fontId="11" fillId="0" borderId="0" xfId="0" applyNumberFormat="1" applyFont="1" applyFill="1" applyAlignment="1">
      <alignment horizontal="center" vertical="center"/>
    </xf>
    <xf numFmtId="167" fontId="11" fillId="0" borderId="0" xfId="0" applyNumberFormat="1" applyFont="1" applyFill="1" applyAlignment="1">
      <alignment horizontal="center" vertical="center" wrapText="1"/>
    </xf>
    <xf numFmtId="2" fontId="11" fillId="0" borderId="0" xfId="0" applyNumberFormat="1" applyFont="1" applyFill="1" applyAlignment="1">
      <alignment horizontal="center" vertical="center" wrapText="1"/>
    </xf>
    <xf numFmtId="166" fontId="11" fillId="0" borderId="0" xfId="0" applyNumberFormat="1" applyFont="1" applyFill="1" applyAlignment="1">
      <alignment horizontal="center" vertical="center" wrapText="1"/>
    </xf>
    <xf numFmtId="166" fontId="11" fillId="0" borderId="0" xfId="0" applyNumberFormat="1" applyFont="1" applyFill="1" applyAlignment="1">
      <alignment horizontal="center" vertical="center"/>
    </xf>
    <xf numFmtId="2" fontId="11" fillId="0" borderId="0" xfId="23" applyNumberFormat="1" applyFont="1" applyFill="1" applyAlignment="1">
      <alignment horizontal="center" vertical="center" wrapText="1"/>
    </xf>
    <xf numFmtId="2" fontId="11" fillId="0" borderId="0" xfId="0" applyNumberFormat="1" applyFont="1" applyFill="1" applyAlignment="1">
      <alignment horizontal="center" vertical="center"/>
    </xf>
    <xf numFmtId="0" fontId="10" fillId="0" borderId="0" xfId="0" applyFont="1" applyFill="1" applyAlignment="1">
      <alignment horizontal="center" vertical="center"/>
    </xf>
    <xf numFmtId="0" fontId="17" fillId="0" borderId="0" xfId="0" applyFont="1" applyFill="1" applyAlignment="1">
      <alignment horizontal="center" vertical="center" wrapText="1"/>
    </xf>
    <xf numFmtId="0" fontId="11" fillId="0" borderId="0" xfId="0" applyFont="1" applyFill="1" applyAlignment="1">
      <alignment horizontal="left" vertical="top"/>
    </xf>
    <xf numFmtId="0" fontId="10" fillId="0" borderId="0" xfId="0" applyFont="1" applyFill="1" applyAlignment="1">
      <alignment horizontal="left" vertical="top"/>
    </xf>
    <xf numFmtId="0" fontId="10" fillId="0" borderId="0" xfId="0" applyFont="1" applyFill="1" applyBorder="1" applyAlignment="1">
      <alignment horizontal="center" vertical="center"/>
    </xf>
    <xf numFmtId="0" fontId="13" fillId="0" borderId="0" xfId="0" applyFont="1" applyFill="1" applyBorder="1" applyAlignment="1">
      <alignment vertical="top" wrapText="1"/>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xf>
    <xf numFmtId="166" fontId="11" fillId="0" borderId="1" xfId="0" applyNumberFormat="1" applyFont="1" applyFill="1" applyBorder="1" applyAlignment="1">
      <alignment horizontal="center" vertical="center"/>
    </xf>
    <xf numFmtId="166" fontId="11" fillId="0" borderId="1" xfId="23" applyNumberFormat="1" applyFont="1" applyFill="1" applyBorder="1" applyAlignment="1">
      <alignment horizontal="center" vertical="center"/>
    </xf>
    <xf numFmtId="0" fontId="11" fillId="0" borderId="1"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13"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7" xfId="0" applyFont="1" applyFill="1" applyBorder="1" applyAlignment="1">
      <alignment vertical="center" wrapText="1"/>
    </xf>
    <xf numFmtId="2" fontId="17" fillId="0" borderId="1" xfId="0" applyNumberFormat="1"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1" fillId="0" borderId="0" xfId="0" applyFont="1" applyFill="1" applyAlignment="1">
      <alignment horizontal="justify"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Alignment="1">
      <alignment horizontal="justify" vertical="center" wrapText="1"/>
    </xf>
    <xf numFmtId="0" fontId="11" fillId="0" borderId="0"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1" fillId="0" borderId="14" xfId="0" applyFont="1" applyFill="1" applyBorder="1" applyAlignment="1">
      <alignment horizontal="center" vertical="center" wrapText="1"/>
    </xf>
    <xf numFmtId="165" fontId="11"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0" fontId="11" fillId="0" borderId="0" xfId="0" applyFont="1" applyFill="1" applyAlignment="1">
      <alignment horizontal="left" vertical="top" wrapText="1"/>
    </xf>
    <xf numFmtId="0" fontId="13"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20" fillId="0" borderId="22" xfId="0" applyFont="1" applyFill="1" applyBorder="1" applyAlignment="1">
      <alignment horizontal="left" vertical="center" wrapText="1"/>
    </xf>
    <xf numFmtId="0" fontId="19" fillId="0" borderId="24" xfId="0" applyFont="1" applyFill="1" applyBorder="1" applyAlignment="1">
      <alignment vertical="center" wrapText="1"/>
    </xf>
    <xf numFmtId="0" fontId="18" fillId="0" borderId="2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cellXfs>
  <cellStyles count="24">
    <cellStyle name="Comma 2" xfId="1" xr:uid="{00000000-0005-0000-0000-000000000000}"/>
    <cellStyle name="Comma 3" xfId="2" xr:uid="{00000000-0005-0000-0000-000001000000}"/>
    <cellStyle name="Comma0 - Type3" xfId="3" xr:uid="{00000000-0005-0000-0000-000002000000}"/>
    <cellStyle name="Fixed2 - Type2" xfId="4" xr:uid="{00000000-0005-0000-0000-000003000000}"/>
    <cellStyle name="Hyperlink 2" xfId="5" xr:uid="{00000000-0005-0000-0000-000004000000}"/>
    <cellStyle name="Hyperlink 3" xfId="6" xr:uid="{00000000-0005-0000-0000-000005000000}"/>
    <cellStyle name="Input 2" xfId="7" xr:uid="{00000000-0005-0000-0000-000006000000}"/>
    <cellStyle name="Komma 2" xfId="8" xr:uid="{00000000-0005-0000-0000-000007000000}"/>
    <cellStyle name="Komma 3" xfId="9" xr:uid="{00000000-0005-0000-0000-000008000000}"/>
    <cellStyle name="Link 2" xfId="10" xr:uid="{00000000-0005-0000-0000-000009000000}"/>
    <cellStyle name="Neutral 2" xfId="11" xr:uid="{00000000-0005-0000-0000-00000A000000}"/>
    <cellStyle name="Normal" xfId="0" builtinId="0"/>
    <cellStyle name="Normal 10" xfId="12" xr:uid="{00000000-0005-0000-0000-00000C000000}"/>
    <cellStyle name="Normal 2" xfId="13" xr:uid="{00000000-0005-0000-0000-00000D000000}"/>
    <cellStyle name="Normal 3" xfId="14" xr:uid="{00000000-0005-0000-0000-00000E000000}"/>
    <cellStyle name="Normal 6" xfId="15" xr:uid="{00000000-0005-0000-0000-00000F000000}"/>
    <cellStyle name="Normal 6 2" xfId="16" xr:uid="{00000000-0005-0000-0000-000010000000}"/>
    <cellStyle name="Output 2" xfId="17" xr:uid="{00000000-0005-0000-0000-000011000000}"/>
    <cellStyle name="Percen - Type1" xfId="18" xr:uid="{00000000-0005-0000-0000-000012000000}"/>
    <cellStyle name="Percent 2" xfId="19" xr:uid="{00000000-0005-0000-0000-000013000000}"/>
    <cellStyle name="Porcentaje" xfId="23" builtinId="5"/>
    <cellStyle name="Procent 2" xfId="20" xr:uid="{00000000-0005-0000-0000-000015000000}"/>
    <cellStyle name="Procent 3" xfId="21" xr:uid="{00000000-0005-0000-0000-000016000000}"/>
    <cellStyle name="Total 2" xfId="22" xr:uid="{00000000-0005-0000-0000-00001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externalLink" Target="externalLinks/externalLink3.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0929449461200214E-2"/>
                  <c:y val="0.67006916284343854"/>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Uncertanties!$Q$2:$Q$3</c:f>
            </c:numRef>
          </c:xVal>
          <c:yVal>
            <c:numRef>
              <c:f>Uncertanties!$R$2:$R$3</c:f>
            </c:numRef>
          </c:yVal>
          <c:smooth val="1"/>
          <c:extLst>
            <c:ext xmlns:c16="http://schemas.microsoft.com/office/drawing/2014/chart" uri="{C3380CC4-5D6E-409C-BE32-E72D297353CC}">
              <c16:uniqueId val="{00000000-BF18-4A8F-A927-CEB5AD3BD6C3}"/>
            </c:ext>
          </c:extLst>
        </c:ser>
        <c:dLbls>
          <c:showLegendKey val="0"/>
          <c:showVal val="0"/>
          <c:showCatName val="0"/>
          <c:showSerName val="0"/>
          <c:showPercent val="0"/>
          <c:showBubbleSize val="0"/>
        </c:dLbls>
        <c:axId val="90628480"/>
        <c:axId val="90631552"/>
      </c:scatterChart>
      <c:valAx>
        <c:axId val="90628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631552"/>
        <c:crosses val="autoZero"/>
        <c:crossBetween val="midCat"/>
      </c:valAx>
      <c:valAx>
        <c:axId val="9063155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6284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7307849623821162E-2"/>
                  <c:y val="0.49004057358213371"/>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Uncertanties!$Q$2:$Q$3</c:f>
            </c:numRef>
          </c:xVal>
          <c:yVal>
            <c:numRef>
              <c:f>Uncertanties!$S$2:$S$3</c:f>
            </c:numRef>
          </c:yVal>
          <c:smooth val="1"/>
          <c:extLst>
            <c:ext xmlns:c16="http://schemas.microsoft.com/office/drawing/2014/chart" uri="{C3380CC4-5D6E-409C-BE32-E72D297353CC}">
              <c16:uniqueId val="{00000000-651F-4D02-983C-8DA156D22100}"/>
            </c:ext>
          </c:extLst>
        </c:ser>
        <c:dLbls>
          <c:showLegendKey val="0"/>
          <c:showVal val="0"/>
          <c:showCatName val="0"/>
          <c:showSerName val="0"/>
          <c:showPercent val="0"/>
          <c:showBubbleSize val="0"/>
        </c:dLbls>
        <c:axId val="129139840"/>
        <c:axId val="129141376"/>
      </c:scatterChart>
      <c:valAx>
        <c:axId val="129139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9141376"/>
        <c:crosses val="autoZero"/>
        <c:crossBetween val="midCat"/>
      </c:valAx>
      <c:valAx>
        <c:axId val="12914137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91398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6384507035144966E-2"/>
                  <c:y val="0.62987372116370499"/>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Uncertanties!$T$3:$T$4</c:f>
            </c:numRef>
          </c:xVal>
          <c:yVal>
            <c:numRef>
              <c:f>Uncertanties!$U$3:$U$4</c:f>
            </c:numRef>
          </c:yVal>
          <c:smooth val="1"/>
          <c:extLst>
            <c:ext xmlns:c16="http://schemas.microsoft.com/office/drawing/2014/chart" uri="{C3380CC4-5D6E-409C-BE32-E72D297353CC}">
              <c16:uniqueId val="{00000000-F47B-480A-A71F-7FDA57553018}"/>
            </c:ext>
          </c:extLst>
        </c:ser>
        <c:dLbls>
          <c:showLegendKey val="0"/>
          <c:showVal val="0"/>
          <c:showCatName val="0"/>
          <c:showSerName val="0"/>
          <c:showPercent val="0"/>
          <c:showBubbleSize val="0"/>
        </c:dLbls>
        <c:axId val="130795776"/>
        <c:axId val="130845696"/>
      </c:scatterChart>
      <c:valAx>
        <c:axId val="13079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845696"/>
        <c:crosses val="autoZero"/>
        <c:crossBetween val="midCat"/>
      </c:valAx>
      <c:valAx>
        <c:axId val="13084569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7957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4.6397734475931651E-2"/>
                  <c:y val="0.57396356522931058"/>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Uncertanties!$T$3:$T$4</c:f>
            </c:numRef>
          </c:xVal>
          <c:yVal>
            <c:numRef>
              <c:f>Uncertanties!$V$3:$V$4</c:f>
            </c:numRef>
          </c:yVal>
          <c:smooth val="1"/>
          <c:extLst>
            <c:ext xmlns:c16="http://schemas.microsoft.com/office/drawing/2014/chart" uri="{C3380CC4-5D6E-409C-BE32-E72D297353CC}">
              <c16:uniqueId val="{00000000-C04B-4B14-B56A-3EF4DBF7B3D5}"/>
            </c:ext>
          </c:extLst>
        </c:ser>
        <c:dLbls>
          <c:showLegendKey val="0"/>
          <c:showVal val="0"/>
          <c:showCatName val="0"/>
          <c:showSerName val="0"/>
          <c:showPercent val="0"/>
          <c:showBubbleSize val="0"/>
        </c:dLbls>
        <c:axId val="132320256"/>
        <c:axId val="132352640"/>
      </c:scatterChart>
      <c:valAx>
        <c:axId val="132320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2352640"/>
        <c:crosses val="autoZero"/>
        <c:crossBetween val="midCat"/>
      </c:valAx>
      <c:valAx>
        <c:axId val="13235264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23202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6207330416166127"/>
                  <c:y val="-5.6756940432347171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Uncertanties!$W$4:$W$5</c:f>
            </c:numRef>
          </c:xVal>
          <c:yVal>
            <c:numRef>
              <c:f>Uncertanties!$X$4:$X$5</c:f>
            </c:numRef>
          </c:yVal>
          <c:smooth val="1"/>
          <c:extLst>
            <c:ext xmlns:c16="http://schemas.microsoft.com/office/drawing/2014/chart" uri="{C3380CC4-5D6E-409C-BE32-E72D297353CC}">
              <c16:uniqueId val="{00000000-5D95-443C-B1D2-6BED9B010AD5}"/>
            </c:ext>
          </c:extLst>
        </c:ser>
        <c:dLbls>
          <c:showLegendKey val="0"/>
          <c:showVal val="0"/>
          <c:showCatName val="0"/>
          <c:showSerName val="0"/>
          <c:showPercent val="0"/>
          <c:showBubbleSize val="0"/>
        </c:dLbls>
        <c:axId val="143860096"/>
        <c:axId val="143862016"/>
      </c:scatterChart>
      <c:valAx>
        <c:axId val="143860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62016"/>
        <c:crosses val="autoZero"/>
        <c:crossBetween val="midCat"/>
      </c:valAx>
      <c:valAx>
        <c:axId val="143862016"/>
        <c:scaling>
          <c:orientation val="minMax"/>
          <c:max val="-0.150000000000000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600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6842243278601279"/>
                  <c:y val="-1.644680602135193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Uncertanties!$W$4:$W$5</c:f>
            </c:numRef>
          </c:xVal>
          <c:yVal>
            <c:numRef>
              <c:f>Uncertanties!$Y$4:$Y$5</c:f>
            </c:numRef>
          </c:yVal>
          <c:smooth val="1"/>
          <c:extLst>
            <c:ext xmlns:c16="http://schemas.microsoft.com/office/drawing/2014/chart" uri="{C3380CC4-5D6E-409C-BE32-E72D297353CC}">
              <c16:uniqueId val="{00000000-F51A-4264-8230-BAA160561245}"/>
            </c:ext>
          </c:extLst>
        </c:ser>
        <c:dLbls>
          <c:showLegendKey val="0"/>
          <c:showVal val="0"/>
          <c:showCatName val="0"/>
          <c:showSerName val="0"/>
          <c:showPercent val="0"/>
          <c:showBubbleSize val="0"/>
        </c:dLbls>
        <c:axId val="105476096"/>
        <c:axId val="105477632"/>
      </c:scatterChart>
      <c:valAx>
        <c:axId val="10547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477632"/>
        <c:crosses val="autoZero"/>
        <c:crossBetween val="midCat"/>
      </c:valAx>
      <c:valAx>
        <c:axId val="105477632"/>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4760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1183748639872116"/>
                  <c:y val="-3.2429906603607693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(Data!$C$2,Data!$D$2,Data!$E$2,Data!$F$2)</c:f>
              <c:numCache>
                <c:formatCode>General</c:formatCode>
                <c:ptCount val="4"/>
                <c:pt idx="0">
                  <c:v>2016</c:v>
                </c:pt>
                <c:pt idx="1">
                  <c:v>2020</c:v>
                </c:pt>
                <c:pt idx="2">
                  <c:v>2025</c:v>
                </c:pt>
                <c:pt idx="3">
                  <c:v>2030</c:v>
                </c:pt>
              </c:numCache>
            </c:numRef>
          </c:xVal>
          <c:yVal>
            <c:numRef>
              <c:f>(Data!$C$17,Data!$D$17,Data!$E$17,Data!$F$17)</c:f>
              <c:numCache>
                <c:formatCode>General</c:formatCode>
                <c:ptCount val="4"/>
                <c:pt idx="0">
                  <c:v>0.36749999999999999</c:v>
                </c:pt>
                <c:pt idx="1">
                  <c:v>0.2908</c:v>
                </c:pt>
                <c:pt idx="2">
                  <c:v>0.217</c:v>
                </c:pt>
                <c:pt idx="3">
                  <c:v>0.16200000000000001</c:v>
                </c:pt>
              </c:numCache>
            </c:numRef>
          </c:yVal>
          <c:smooth val="1"/>
          <c:extLst>
            <c:ext xmlns:c16="http://schemas.microsoft.com/office/drawing/2014/chart" uri="{C3380CC4-5D6E-409C-BE32-E72D297353CC}">
              <c16:uniqueId val="{00000000-0658-41FB-A68F-5045E6066045}"/>
            </c:ext>
          </c:extLst>
        </c:ser>
        <c:dLbls>
          <c:showLegendKey val="0"/>
          <c:showVal val="0"/>
          <c:showCatName val="0"/>
          <c:showSerName val="0"/>
          <c:showPercent val="0"/>
          <c:showBubbleSize val="0"/>
        </c:dLbls>
        <c:axId val="105495552"/>
        <c:axId val="105505536"/>
      </c:scatterChart>
      <c:valAx>
        <c:axId val="105495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505536"/>
        <c:crosses val="autoZero"/>
        <c:crossBetween val="midCat"/>
      </c:valAx>
      <c:valAx>
        <c:axId val="105505536"/>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54955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4.5996006097846195E-2"/>
                  <c:y val="2.8450466850241083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(Data!$C$2,Data!$D$2,Data!$E$2,Data!$F$2)</c:f>
              <c:numCache>
                <c:formatCode>General</c:formatCode>
                <c:ptCount val="4"/>
                <c:pt idx="0">
                  <c:v>2016</c:v>
                </c:pt>
                <c:pt idx="1">
                  <c:v>2020</c:v>
                </c:pt>
                <c:pt idx="2">
                  <c:v>2025</c:v>
                </c:pt>
                <c:pt idx="3">
                  <c:v>2030</c:v>
                </c:pt>
              </c:numCache>
            </c:numRef>
          </c:xVal>
          <c:yVal>
            <c:numRef>
              <c:f>(Data!$C$18,Data!$D$18,Data!$E$18,Data!$F$18)</c:f>
              <c:numCache>
                <c:formatCode>0.000</c:formatCode>
                <c:ptCount val="4"/>
                <c:pt idx="0" formatCode="General">
                  <c:v>0.105</c:v>
                </c:pt>
                <c:pt idx="1">
                  <c:v>8.5000000000000006E-2</c:v>
                </c:pt>
                <c:pt idx="2" formatCode="General">
                  <c:v>6.5600000000000006E-2</c:v>
                </c:pt>
                <c:pt idx="3">
                  <c:v>5.0500000000000003E-2</c:v>
                </c:pt>
              </c:numCache>
            </c:numRef>
          </c:yVal>
          <c:smooth val="1"/>
          <c:extLst>
            <c:ext xmlns:c16="http://schemas.microsoft.com/office/drawing/2014/chart" uri="{C3380CC4-5D6E-409C-BE32-E72D297353CC}">
              <c16:uniqueId val="{00000000-9173-4B3E-96CE-8579E83732D9}"/>
            </c:ext>
          </c:extLst>
        </c:ser>
        <c:dLbls>
          <c:showLegendKey val="0"/>
          <c:showVal val="0"/>
          <c:showCatName val="0"/>
          <c:showSerName val="0"/>
          <c:showPercent val="0"/>
          <c:showBubbleSize val="0"/>
        </c:dLbls>
        <c:axId val="108161280"/>
        <c:axId val="108163072"/>
      </c:scatterChart>
      <c:valAx>
        <c:axId val="108161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63072"/>
        <c:crosses val="autoZero"/>
        <c:crossBetween val="midCat"/>
      </c:valAx>
      <c:valAx>
        <c:axId val="108163072"/>
        <c:scaling>
          <c:orientation val="minMax"/>
          <c:min val="4.0000000000000008E-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612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6074448220389483E-2"/>
                  <c:y val="0.6448532171640223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Uncertanties!$Q$5:$Q$6</c:f>
            </c:numRef>
          </c:xVal>
          <c:yVal>
            <c:numRef>
              <c:f>Uncertanties!$R$5:$R$6</c:f>
            </c:numRef>
          </c:yVal>
          <c:smooth val="1"/>
          <c:extLst>
            <c:ext xmlns:c16="http://schemas.microsoft.com/office/drawing/2014/chart" uri="{C3380CC4-5D6E-409C-BE32-E72D297353CC}">
              <c16:uniqueId val="{00000000-C231-4FA5-A90A-E7B071EDF8F4}"/>
            </c:ext>
          </c:extLst>
        </c:ser>
        <c:dLbls>
          <c:showLegendKey val="0"/>
          <c:showVal val="0"/>
          <c:showCatName val="0"/>
          <c:showSerName val="0"/>
          <c:showPercent val="0"/>
          <c:showBubbleSize val="0"/>
        </c:dLbls>
        <c:axId val="108180992"/>
        <c:axId val="108182528"/>
      </c:scatterChart>
      <c:valAx>
        <c:axId val="108180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82528"/>
        <c:crosses val="autoZero"/>
        <c:crossBetween val="midCat"/>
      </c:valAx>
      <c:valAx>
        <c:axId val="10818252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809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95"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21"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1"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21"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16</xdr:col>
      <xdr:colOff>647700</xdr:colOff>
      <xdr:row>1</xdr:row>
      <xdr:rowOff>171450</xdr:rowOff>
    </xdr:from>
    <xdr:to>
      <xdr:col>25</xdr:col>
      <xdr:colOff>389700</xdr:colOff>
      <xdr:row>11</xdr:row>
      <xdr:rowOff>761424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354300" y="933450"/>
          <a:ext cx="6600000" cy="4609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666963" cy="6297521"/>
    <xdr:graphicFrame macro="">
      <xdr:nvGraphicFramePr>
        <xdr:cNvPr id="2" name="Gráfico 1">
          <a:extLst>
            <a:ext uri="{FF2B5EF4-FFF2-40B4-BE49-F238E27FC236}">
              <a16:creationId xmlns:a16="http://schemas.microsoft.com/office/drawing/2014/main" id="{632307D9-21DE-447B-B38B-F9F65F33708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E690C729-CB2C-42A8-BE5B-E7F0883A1E2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749760AA-C764-4750-87A2-008EB214D4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038474CD-27B9-43EE-B0FC-853FB8EED5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707E3779-AE1C-4440-AB60-7A72E889CC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4395" cy="6075947"/>
    <xdr:graphicFrame macro="">
      <xdr:nvGraphicFramePr>
        <xdr:cNvPr id="2" name="Gráfico 1">
          <a:extLst>
            <a:ext uri="{FF2B5EF4-FFF2-40B4-BE49-F238E27FC236}">
              <a16:creationId xmlns:a16="http://schemas.microsoft.com/office/drawing/2014/main" id="{C2C9E0A0-B53C-4FDA-A6B7-10AB821CA6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12459" cy="6077107"/>
    <xdr:graphicFrame macro="">
      <xdr:nvGraphicFramePr>
        <xdr:cNvPr id="2" name="Gráfico 1">
          <a:extLst>
            <a:ext uri="{FF2B5EF4-FFF2-40B4-BE49-F238E27FC236}">
              <a16:creationId xmlns:a16="http://schemas.microsoft.com/office/drawing/2014/main" id="{166926FE-55F0-4091-915B-25F3E32E46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2DD5C20F-7464-41A9-9CBC-DF537E7EB30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BDF34F30-2F0D-4E79-BC4E-F07C62267B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3-PROY%20ALM%20ENE\DS%20REF\MX%20TC%20Data%20Sheets%20Draft1_Ver_191127a%20SPI%20(Autoguar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S"/>
      <sheetName val="Li-Ion Battery"/>
      <sheetName val="Lead acid battery"/>
      <sheetName val="Na-S Battery"/>
      <sheetName val="VR Flow Battery"/>
      <sheetName val="CAES"/>
      <sheetName val="Molten Salt"/>
      <sheetName val="Supercapacitors"/>
      <sheetName val="Flywheels"/>
    </sheetNames>
    <sheetDataSet>
      <sheetData sheetId="0" refreshError="1"/>
      <sheetData sheetId="1"/>
      <sheetData sheetId="2"/>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rena.org/-/media/Files/IRENA/Agency/Events/2017/Mar/15/2017_Kairies_Battery_Cost_and_Performance_0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rena.org/-/media/Files/IRENA/Agency/Events/2017/Mar/15/2017_Kairies_Battery_Cost_and_Performance_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X94"/>
  <sheetViews>
    <sheetView showGridLines="0" tabSelected="1" zoomScale="80" zoomScaleNormal="80" workbookViewId="0">
      <selection activeCell="B2" sqref="B2:K34"/>
    </sheetView>
  </sheetViews>
  <sheetFormatPr baseColWidth="10" defaultColWidth="9.140625" defaultRowHeight="15" x14ac:dyDescent="0.3"/>
  <cols>
    <col min="1" max="1" width="2.7109375" style="5" customWidth="1"/>
    <col min="2" max="2" width="59.7109375" style="5" customWidth="1"/>
    <col min="3" max="10" width="10.7109375" style="5" customWidth="1"/>
    <col min="11" max="11" width="17.140625" style="5" customWidth="1"/>
    <col min="12" max="16384" width="9.140625" style="5"/>
  </cols>
  <sheetData>
    <row r="1" spans="2:24" ht="15.75" thickBot="1" x14ac:dyDescent="0.35">
      <c r="B1" s="4"/>
    </row>
    <row r="2" spans="2:24" ht="22.5" customHeight="1" x14ac:dyDescent="0.3">
      <c r="B2" s="103" t="s">
        <v>0</v>
      </c>
      <c r="C2" s="104" t="s">
        <v>1</v>
      </c>
      <c r="D2" s="104"/>
      <c r="E2" s="104"/>
      <c r="F2" s="104"/>
      <c r="G2" s="104"/>
      <c r="H2" s="104"/>
      <c r="I2" s="104"/>
      <c r="J2" s="104"/>
      <c r="K2" s="105"/>
      <c r="L2" s="67"/>
      <c r="M2" s="68"/>
      <c r="N2" s="69"/>
      <c r="O2" s="69"/>
      <c r="P2" s="69"/>
      <c r="Q2" s="69"/>
      <c r="R2" s="69"/>
      <c r="S2" s="69"/>
      <c r="T2" s="69"/>
      <c r="U2" s="69"/>
      <c r="V2" s="69"/>
      <c r="W2" s="69"/>
      <c r="X2" s="69"/>
    </row>
    <row r="3" spans="2:24" ht="30.75" customHeight="1" x14ac:dyDescent="0.3">
      <c r="B3" s="106"/>
      <c r="C3" s="58">
        <v>2020</v>
      </c>
      <c r="D3" s="58">
        <v>2030</v>
      </c>
      <c r="E3" s="58">
        <v>2050</v>
      </c>
      <c r="F3" s="70" t="s">
        <v>2</v>
      </c>
      <c r="G3" s="71"/>
      <c r="H3" s="72" t="s">
        <v>75</v>
      </c>
      <c r="I3" s="73"/>
      <c r="J3" s="58" t="s">
        <v>3</v>
      </c>
      <c r="K3" s="107" t="s">
        <v>4</v>
      </c>
      <c r="L3" s="67"/>
      <c r="M3" s="68"/>
      <c r="N3" s="69"/>
      <c r="O3" s="69"/>
      <c r="P3" s="69"/>
      <c r="Q3" s="69"/>
      <c r="R3" s="69"/>
      <c r="S3" s="69"/>
      <c r="T3" s="69"/>
      <c r="U3" s="69"/>
      <c r="V3" s="69"/>
      <c r="W3" s="69"/>
      <c r="X3" s="69"/>
    </row>
    <row r="4" spans="2:24" x14ac:dyDescent="0.3">
      <c r="B4" s="108" t="s">
        <v>5</v>
      </c>
      <c r="C4" s="58"/>
      <c r="D4" s="58"/>
      <c r="E4" s="58"/>
      <c r="F4" s="58" t="s">
        <v>6</v>
      </c>
      <c r="G4" s="58" t="s">
        <v>7</v>
      </c>
      <c r="H4" s="58" t="s">
        <v>6</v>
      </c>
      <c r="I4" s="58" t="s">
        <v>8</v>
      </c>
      <c r="J4" s="58"/>
      <c r="K4" s="107"/>
      <c r="L4" s="76"/>
      <c r="M4" s="77"/>
      <c r="N4" s="69"/>
      <c r="O4" s="69"/>
      <c r="P4" s="69"/>
      <c r="Q4" s="69"/>
      <c r="R4" s="69"/>
      <c r="S4" s="69"/>
      <c r="T4" s="69"/>
      <c r="U4" s="69"/>
      <c r="V4" s="69"/>
      <c r="W4" s="69"/>
      <c r="X4" s="69"/>
    </row>
    <row r="5" spans="2:24" ht="22.5" customHeight="1" x14ac:dyDescent="0.3">
      <c r="B5" s="109" t="s">
        <v>9</v>
      </c>
      <c r="C5" s="79" t="s">
        <v>10</v>
      </c>
      <c r="D5" s="80"/>
      <c r="E5" s="81"/>
      <c r="F5" s="57"/>
      <c r="G5" s="57"/>
      <c r="H5" s="57"/>
      <c r="I5" s="57"/>
      <c r="J5" s="57"/>
      <c r="K5" s="110"/>
      <c r="L5" s="74"/>
      <c r="M5" s="75"/>
      <c r="N5" s="69"/>
      <c r="O5" s="69"/>
      <c r="P5" s="69"/>
      <c r="Q5" s="69"/>
      <c r="R5" s="69"/>
      <c r="S5" s="69"/>
      <c r="T5" s="69"/>
      <c r="U5" s="69"/>
      <c r="V5" s="69"/>
      <c r="W5" s="69"/>
      <c r="X5" s="69"/>
    </row>
    <row r="6" spans="2:24" ht="19.5" customHeight="1" x14ac:dyDescent="0.3">
      <c r="B6" s="109" t="s">
        <v>11</v>
      </c>
      <c r="C6" s="79" t="s">
        <v>72</v>
      </c>
      <c r="D6" s="80"/>
      <c r="E6" s="81"/>
      <c r="F6" s="57"/>
      <c r="G6" s="57"/>
      <c r="H6" s="57"/>
      <c r="I6" s="57"/>
      <c r="J6" s="57"/>
      <c r="K6" s="110"/>
      <c r="L6" s="74"/>
      <c r="M6" s="75"/>
      <c r="N6" s="69"/>
      <c r="O6" s="69"/>
      <c r="P6" s="69"/>
      <c r="Q6" s="69"/>
      <c r="R6" s="69"/>
      <c r="S6" s="69"/>
      <c r="T6" s="69"/>
      <c r="U6" s="69"/>
      <c r="V6" s="69"/>
      <c r="W6" s="69"/>
      <c r="X6" s="69"/>
    </row>
    <row r="7" spans="2:24" ht="15" customHeight="1" x14ac:dyDescent="0.3">
      <c r="B7" s="109" t="s">
        <v>12</v>
      </c>
      <c r="C7" s="57">
        <v>30</v>
      </c>
      <c r="D7" s="57">
        <v>30</v>
      </c>
      <c r="E7" s="57">
        <v>30</v>
      </c>
      <c r="F7" s="57">
        <v>30</v>
      </c>
      <c r="G7" s="57">
        <v>30</v>
      </c>
      <c r="H7" s="57">
        <v>30</v>
      </c>
      <c r="I7" s="57">
        <v>30</v>
      </c>
      <c r="J7" s="57"/>
      <c r="K7" s="110" t="s">
        <v>13</v>
      </c>
      <c r="L7" s="7"/>
      <c r="M7" s="7"/>
      <c r="N7" s="69"/>
      <c r="O7" s="69"/>
      <c r="P7" s="69"/>
      <c r="Q7" s="69"/>
      <c r="R7" s="69"/>
      <c r="S7" s="69"/>
      <c r="T7" s="69"/>
      <c r="U7" s="69"/>
      <c r="V7" s="69"/>
      <c r="W7" s="69"/>
      <c r="X7" s="69"/>
    </row>
    <row r="8" spans="2:24" ht="15" customHeight="1" x14ac:dyDescent="0.3">
      <c r="B8" s="109" t="s">
        <v>14</v>
      </c>
      <c r="C8" s="57">
        <f>C7/2</f>
        <v>15</v>
      </c>
      <c r="D8" s="57">
        <f t="shared" ref="D8:I8" si="0">D7/2</f>
        <v>15</v>
      </c>
      <c r="E8" s="57">
        <f t="shared" si="0"/>
        <v>15</v>
      </c>
      <c r="F8" s="57">
        <f t="shared" si="0"/>
        <v>15</v>
      </c>
      <c r="G8" s="57">
        <f t="shared" si="0"/>
        <v>15</v>
      </c>
      <c r="H8" s="57">
        <f t="shared" si="0"/>
        <v>15</v>
      </c>
      <c r="I8" s="57">
        <f t="shared" si="0"/>
        <v>15</v>
      </c>
      <c r="J8" s="57"/>
      <c r="K8" s="110" t="s">
        <v>13</v>
      </c>
      <c r="L8" s="74"/>
      <c r="M8" s="75"/>
      <c r="N8" s="69"/>
      <c r="O8" s="69"/>
      <c r="P8" s="69"/>
      <c r="Q8" s="69"/>
      <c r="R8" s="69"/>
      <c r="S8" s="69"/>
      <c r="T8" s="69"/>
      <c r="U8" s="69"/>
      <c r="V8" s="69"/>
      <c r="W8" s="69"/>
      <c r="X8" s="69"/>
    </row>
    <row r="9" spans="2:24" ht="15" customHeight="1" x14ac:dyDescent="0.3">
      <c r="B9" s="109" t="s">
        <v>15</v>
      </c>
      <c r="C9" s="57">
        <f>C8</f>
        <v>15</v>
      </c>
      <c r="D9" s="57">
        <f t="shared" ref="D9:I9" si="1">D8</f>
        <v>15</v>
      </c>
      <c r="E9" s="57">
        <f t="shared" si="1"/>
        <v>15</v>
      </c>
      <c r="F9" s="57">
        <f t="shared" si="1"/>
        <v>15</v>
      </c>
      <c r="G9" s="57">
        <f t="shared" si="1"/>
        <v>15</v>
      </c>
      <c r="H9" s="57">
        <f t="shared" si="1"/>
        <v>15</v>
      </c>
      <c r="I9" s="57">
        <f t="shared" si="1"/>
        <v>15</v>
      </c>
      <c r="J9" s="59" t="s">
        <v>16</v>
      </c>
      <c r="K9" s="110" t="s">
        <v>13</v>
      </c>
      <c r="L9" s="74"/>
      <c r="M9" s="75"/>
      <c r="N9" s="69"/>
      <c r="O9" s="69"/>
      <c r="P9" s="69"/>
      <c r="Q9" s="69"/>
      <c r="R9" s="69"/>
      <c r="S9" s="69"/>
      <c r="T9" s="69"/>
      <c r="U9" s="69"/>
      <c r="V9" s="69"/>
      <c r="W9" s="69"/>
      <c r="X9" s="69"/>
    </row>
    <row r="10" spans="2:24" ht="15" customHeight="1" x14ac:dyDescent="0.3">
      <c r="B10" s="109" t="s">
        <v>17</v>
      </c>
      <c r="C10" s="57">
        <v>81</v>
      </c>
      <c r="D10" s="60">
        <f>Data!M6</f>
        <v>83.361445783132538</v>
      </c>
      <c r="E10" s="60">
        <f>Data!N6</f>
        <v>83.361445783132538</v>
      </c>
      <c r="F10" s="60">
        <f>$C$10+($C$10*Uncertanties!J3)</f>
        <v>69.289156626506028</v>
      </c>
      <c r="G10" s="60">
        <f>$C$10+($C$10*Uncertanties!K3)</f>
        <v>89.783132530120483</v>
      </c>
      <c r="H10" s="60">
        <f>$D$10+($D$10*Uncertanties!L3)</f>
        <v>71.806465698795193</v>
      </c>
      <c r="I10" s="60">
        <f>$D$10+($D$10*Uncertanties!M3)</f>
        <v>92.938258759036145</v>
      </c>
      <c r="J10" s="57" t="s">
        <v>18</v>
      </c>
      <c r="K10" s="110" t="s">
        <v>19</v>
      </c>
      <c r="L10" s="74"/>
      <c r="M10" s="75"/>
      <c r="N10" s="69"/>
      <c r="O10" s="69"/>
      <c r="P10" s="69"/>
      <c r="Q10" s="69"/>
      <c r="R10" s="69"/>
      <c r="S10" s="69"/>
      <c r="T10" s="69"/>
      <c r="U10" s="69"/>
      <c r="V10" s="69"/>
      <c r="W10" s="69"/>
      <c r="X10" s="69"/>
    </row>
    <row r="11" spans="2:24" ht="15" customHeight="1" x14ac:dyDescent="0.3">
      <c r="B11" s="109" t="s">
        <v>193</v>
      </c>
      <c r="C11" s="57">
        <f>POWER(C10/100,0.5)*100</f>
        <v>90</v>
      </c>
      <c r="D11" s="60">
        <f t="shared" ref="D11:I11" si="2">POWER(D10/100,0.5)*100</f>
        <v>91.302489442036872</v>
      </c>
      <c r="E11" s="60">
        <f t="shared" si="2"/>
        <v>91.302489442036872</v>
      </c>
      <c r="F11" s="60">
        <f t="shared" si="2"/>
        <v>83.240108497350022</v>
      </c>
      <c r="G11" s="60">
        <f t="shared" si="2"/>
        <v>94.753961674497006</v>
      </c>
      <c r="H11" s="60">
        <f t="shared" si="2"/>
        <v>84.738695823569998</v>
      </c>
      <c r="I11" s="60">
        <f t="shared" si="2"/>
        <v>96.40449095298213</v>
      </c>
      <c r="J11" s="57" t="s">
        <v>90</v>
      </c>
      <c r="K11" s="110"/>
      <c r="L11" s="74"/>
      <c r="M11" s="75"/>
      <c r="N11" s="69"/>
      <c r="O11" s="69"/>
      <c r="P11" s="69"/>
      <c r="Q11" s="69"/>
      <c r="R11" s="69"/>
      <c r="S11" s="69"/>
      <c r="T11" s="69"/>
      <c r="U11" s="69"/>
      <c r="V11" s="69"/>
      <c r="W11" s="69"/>
      <c r="X11" s="69"/>
    </row>
    <row r="12" spans="2:24" ht="15" customHeight="1" x14ac:dyDescent="0.3">
      <c r="B12" s="111" t="s">
        <v>21</v>
      </c>
      <c r="C12" s="57">
        <f>C11</f>
        <v>90</v>
      </c>
      <c r="D12" s="60">
        <f t="shared" ref="D12:I12" si="3">D11</f>
        <v>91.302489442036872</v>
      </c>
      <c r="E12" s="60">
        <f t="shared" si="3"/>
        <v>91.302489442036872</v>
      </c>
      <c r="F12" s="60">
        <f t="shared" si="3"/>
        <v>83.240108497350022</v>
      </c>
      <c r="G12" s="60">
        <f t="shared" si="3"/>
        <v>94.753961674497006</v>
      </c>
      <c r="H12" s="60">
        <f t="shared" si="3"/>
        <v>84.738695823569998</v>
      </c>
      <c r="I12" s="60">
        <f t="shared" si="3"/>
        <v>96.40449095298213</v>
      </c>
      <c r="J12" s="57" t="s">
        <v>90</v>
      </c>
      <c r="K12" s="110"/>
      <c r="L12" s="74"/>
      <c r="M12" s="75"/>
      <c r="N12" s="69"/>
      <c r="O12" s="69"/>
      <c r="P12" s="69"/>
      <c r="Q12" s="69"/>
      <c r="R12" s="69"/>
      <c r="S12" s="69"/>
      <c r="T12" s="69"/>
      <c r="U12" s="69"/>
      <c r="V12" s="69"/>
      <c r="W12" s="69"/>
      <c r="X12" s="69"/>
    </row>
    <row r="13" spans="2:24" ht="15" customHeight="1" x14ac:dyDescent="0.3">
      <c r="B13" s="109" t="s">
        <v>22</v>
      </c>
      <c r="C13" s="57">
        <v>0.1</v>
      </c>
      <c r="D13" s="57">
        <v>0.1</v>
      </c>
      <c r="E13" s="57">
        <v>0.1</v>
      </c>
      <c r="F13" s="57">
        <v>0</v>
      </c>
      <c r="G13" s="57">
        <v>1</v>
      </c>
      <c r="H13" s="57">
        <v>0</v>
      </c>
      <c r="I13" s="57">
        <v>1</v>
      </c>
      <c r="J13" s="57"/>
      <c r="K13" s="110" t="s">
        <v>73</v>
      </c>
      <c r="L13" s="74"/>
      <c r="M13" s="75"/>
      <c r="N13" s="69"/>
      <c r="O13" s="69"/>
      <c r="P13" s="69"/>
      <c r="Q13" s="69"/>
      <c r="R13" s="69"/>
      <c r="S13" s="69"/>
      <c r="T13" s="69"/>
      <c r="U13" s="69"/>
      <c r="V13" s="69"/>
      <c r="W13" s="69"/>
      <c r="X13" s="69"/>
    </row>
    <row r="14" spans="2:24" ht="15" customHeight="1" x14ac:dyDescent="0.3">
      <c r="B14" s="109" t="s">
        <v>23</v>
      </c>
      <c r="C14" s="57">
        <v>0</v>
      </c>
      <c r="D14" s="57">
        <v>0</v>
      </c>
      <c r="E14" s="57">
        <v>0</v>
      </c>
      <c r="F14" s="57">
        <v>0</v>
      </c>
      <c r="G14" s="57">
        <v>2</v>
      </c>
      <c r="H14" s="57">
        <v>0</v>
      </c>
      <c r="I14" s="57">
        <v>2</v>
      </c>
      <c r="J14" s="57" t="s">
        <v>24</v>
      </c>
      <c r="K14" s="110" t="s">
        <v>20</v>
      </c>
      <c r="L14" s="74"/>
      <c r="M14" s="75"/>
      <c r="N14" s="69"/>
      <c r="O14" s="69"/>
      <c r="P14" s="69"/>
      <c r="Q14" s="69"/>
      <c r="R14" s="69"/>
      <c r="S14" s="69"/>
      <c r="T14" s="69"/>
      <c r="U14" s="69"/>
      <c r="V14" s="69"/>
      <c r="W14" s="69"/>
      <c r="X14" s="69"/>
    </row>
    <row r="15" spans="2:24" ht="15" customHeight="1" x14ac:dyDescent="0.3">
      <c r="B15" s="109" t="s">
        <v>25</v>
      </c>
      <c r="C15" s="57">
        <v>0</v>
      </c>
      <c r="D15" s="57">
        <v>0</v>
      </c>
      <c r="E15" s="57">
        <v>0</v>
      </c>
      <c r="F15" s="57">
        <v>0</v>
      </c>
      <c r="G15" s="57">
        <v>0</v>
      </c>
      <c r="H15" s="57">
        <v>0</v>
      </c>
      <c r="I15" s="57">
        <v>0</v>
      </c>
      <c r="J15" s="57" t="s">
        <v>26</v>
      </c>
      <c r="K15" s="110" t="s">
        <v>20</v>
      </c>
      <c r="L15" s="74"/>
      <c r="M15" s="75"/>
      <c r="N15" s="69"/>
      <c r="O15" s="69"/>
      <c r="P15" s="69"/>
      <c r="Q15" s="69"/>
      <c r="R15" s="69"/>
      <c r="S15" s="69"/>
      <c r="T15" s="69"/>
      <c r="U15" s="69"/>
      <c r="V15" s="69"/>
      <c r="W15" s="69"/>
      <c r="X15" s="69"/>
    </row>
    <row r="16" spans="2:24" ht="15" customHeight="1" x14ac:dyDescent="0.3">
      <c r="B16" s="109" t="s">
        <v>27</v>
      </c>
      <c r="C16" s="57">
        <v>19</v>
      </c>
      <c r="D16" s="60">
        <f>Data!M12</f>
        <v>24</v>
      </c>
      <c r="E16" s="60">
        <f>Data!N12</f>
        <v>24</v>
      </c>
      <c r="F16" s="60">
        <f>$C$16+($C$16*Uncertanties!J4)</f>
        <v>10</v>
      </c>
      <c r="G16" s="60">
        <f>$C$16+($C$16*Uncertanties!K4)</f>
        <v>28</v>
      </c>
      <c r="H16" s="60">
        <f>$D$16+($D$16*Uncertanties!L4)</f>
        <v>13.107959999999984</v>
      </c>
      <c r="I16" s="60">
        <f>$D$16+($D$16*Uncertanties!M4)</f>
        <v>35.569535999999999</v>
      </c>
      <c r="J16" s="57" t="s">
        <v>18</v>
      </c>
      <c r="K16" s="110" t="s">
        <v>28</v>
      </c>
      <c r="L16" s="74"/>
      <c r="M16" s="75"/>
      <c r="N16" s="69"/>
      <c r="O16" s="69"/>
      <c r="P16" s="69"/>
      <c r="Q16" s="69"/>
      <c r="R16" s="69"/>
      <c r="S16" s="69"/>
      <c r="T16" s="69"/>
      <c r="U16" s="69"/>
      <c r="V16" s="69"/>
      <c r="W16" s="69"/>
      <c r="X16" s="69"/>
    </row>
    <row r="17" spans="2:24" ht="15" customHeight="1" x14ac:dyDescent="0.3">
      <c r="B17" s="109" t="s">
        <v>29</v>
      </c>
      <c r="C17" s="57">
        <v>0.5</v>
      </c>
      <c r="D17" s="57">
        <v>0.5</v>
      </c>
      <c r="E17" s="57">
        <v>0.5</v>
      </c>
      <c r="F17" s="57">
        <v>0.2</v>
      </c>
      <c r="G17" s="57">
        <v>2</v>
      </c>
      <c r="H17" s="57">
        <v>0.2</v>
      </c>
      <c r="I17" s="57">
        <v>2</v>
      </c>
      <c r="J17" s="57"/>
      <c r="K17" s="110" t="s">
        <v>30</v>
      </c>
      <c r="L17" s="74"/>
      <c r="M17" s="75"/>
      <c r="N17" s="69"/>
      <c r="O17" s="69"/>
      <c r="P17" s="69"/>
      <c r="Q17" s="69"/>
      <c r="R17" s="69"/>
      <c r="S17" s="69"/>
      <c r="T17" s="69"/>
      <c r="U17" s="69"/>
      <c r="V17" s="69"/>
      <c r="W17" s="69"/>
      <c r="X17" s="69"/>
    </row>
    <row r="18" spans="2:24" ht="15" customHeight="1" x14ac:dyDescent="0.3">
      <c r="B18" s="112" t="s">
        <v>44</v>
      </c>
      <c r="C18" s="61">
        <v>5600</v>
      </c>
      <c r="D18" s="60">
        <v>7500</v>
      </c>
      <c r="E18" s="60">
        <v>7500</v>
      </c>
      <c r="F18" s="60">
        <f>$C$18+($C$18*Uncertanties!J6)</f>
        <v>1100</v>
      </c>
      <c r="G18" s="60">
        <f>$C$18+($C$18*Uncertanties!K6)</f>
        <v>11200</v>
      </c>
      <c r="H18" s="60">
        <v>1500</v>
      </c>
      <c r="I18" s="60">
        <f>$D$18+($D$18*Uncertanties!M6)</f>
        <v>15000</v>
      </c>
      <c r="J18" s="62"/>
      <c r="K18" s="110" t="s">
        <v>20</v>
      </c>
      <c r="L18" s="78"/>
      <c r="M18" s="69"/>
      <c r="N18" s="75"/>
      <c r="O18" s="75"/>
      <c r="P18" s="8"/>
      <c r="Q18" s="8"/>
      <c r="R18" s="8"/>
      <c r="S18" s="8"/>
      <c r="T18" s="8"/>
      <c r="U18" s="8"/>
      <c r="V18" s="8"/>
      <c r="W18" s="8"/>
      <c r="X18" s="8"/>
    </row>
    <row r="19" spans="2:24" ht="15" customHeight="1" x14ac:dyDescent="0.3">
      <c r="B19" s="108" t="s">
        <v>31</v>
      </c>
      <c r="C19" s="56"/>
      <c r="D19" s="56"/>
      <c r="E19" s="56"/>
      <c r="F19" s="56"/>
      <c r="G19" s="56"/>
      <c r="H19" s="56"/>
      <c r="I19" s="56"/>
      <c r="J19" s="56"/>
      <c r="K19" s="113"/>
      <c r="L19" s="67"/>
      <c r="M19" s="68"/>
      <c r="N19" s="68"/>
      <c r="O19" s="69"/>
      <c r="P19" s="69"/>
      <c r="Q19" s="69"/>
      <c r="R19" s="69"/>
      <c r="S19" s="69"/>
      <c r="T19" s="69"/>
      <c r="U19" s="69"/>
      <c r="V19" s="69"/>
      <c r="W19" s="69"/>
      <c r="X19" s="69"/>
    </row>
    <row r="20" spans="2:24" ht="15" customHeight="1" x14ac:dyDescent="0.3">
      <c r="B20" s="109" t="s">
        <v>32</v>
      </c>
      <c r="C20" s="57">
        <v>1E-3</v>
      </c>
      <c r="D20" s="57">
        <v>1E-3</v>
      </c>
      <c r="E20" s="57">
        <v>1E-3</v>
      </c>
      <c r="F20" s="57">
        <v>1E-3</v>
      </c>
      <c r="G20" s="57">
        <v>0.02</v>
      </c>
      <c r="H20" s="57">
        <v>1E-3</v>
      </c>
      <c r="I20" s="57">
        <v>0.02</v>
      </c>
      <c r="J20" s="57" t="s">
        <v>33</v>
      </c>
      <c r="K20" s="110" t="s">
        <v>30</v>
      </c>
      <c r="L20" s="74"/>
      <c r="M20" s="69"/>
      <c r="N20" s="69"/>
      <c r="O20" s="69"/>
      <c r="P20" s="69"/>
      <c r="Q20" s="69"/>
      <c r="R20" s="69"/>
      <c r="S20" s="69"/>
      <c r="T20" s="69"/>
      <c r="U20" s="69"/>
      <c r="V20" s="69"/>
      <c r="W20" s="69"/>
      <c r="X20" s="69"/>
    </row>
    <row r="21" spans="2:24" ht="15" customHeight="1" x14ac:dyDescent="0.3">
      <c r="B21" s="109" t="s">
        <v>34</v>
      </c>
      <c r="C21" s="57">
        <v>0.05</v>
      </c>
      <c r="D21" s="57">
        <v>0.05</v>
      </c>
      <c r="E21" s="57">
        <v>0.05</v>
      </c>
      <c r="F21" s="57">
        <v>1E-3</v>
      </c>
      <c r="G21" s="57">
        <v>0.05</v>
      </c>
      <c r="H21" s="57">
        <v>1E-3</v>
      </c>
      <c r="I21" s="57">
        <v>0.05</v>
      </c>
      <c r="J21" s="57" t="s">
        <v>33</v>
      </c>
      <c r="K21" s="110" t="s">
        <v>30</v>
      </c>
      <c r="L21" s="74"/>
      <c r="M21" s="69"/>
      <c r="N21" s="69"/>
      <c r="O21" s="69"/>
      <c r="P21" s="69"/>
      <c r="Q21" s="69"/>
      <c r="R21" s="69"/>
      <c r="S21" s="69"/>
      <c r="T21" s="69"/>
      <c r="U21" s="69"/>
      <c r="V21" s="69"/>
      <c r="W21" s="69"/>
      <c r="X21" s="69"/>
    </row>
    <row r="22" spans="2:24" ht="15" customHeight="1" x14ac:dyDescent="0.3">
      <c r="B22" s="108" t="s">
        <v>35</v>
      </c>
      <c r="C22" s="56"/>
      <c r="D22" s="56"/>
      <c r="E22" s="56"/>
      <c r="F22" s="56"/>
      <c r="G22" s="56"/>
      <c r="H22" s="56"/>
      <c r="I22" s="56"/>
      <c r="J22" s="56"/>
      <c r="K22" s="113"/>
      <c r="L22" s="76"/>
      <c r="M22" s="77"/>
      <c r="N22" s="77"/>
      <c r="O22" s="69"/>
      <c r="P22" s="69"/>
      <c r="Q22" s="69"/>
      <c r="R22" s="69"/>
      <c r="S22" s="69"/>
      <c r="T22" s="69"/>
      <c r="U22" s="69"/>
      <c r="V22" s="69"/>
      <c r="W22" s="69"/>
      <c r="X22" s="69"/>
    </row>
    <row r="23" spans="2:24" ht="15" customHeight="1" x14ac:dyDescent="0.3">
      <c r="B23" s="109" t="s">
        <v>124</v>
      </c>
      <c r="C23" s="63">
        <f>((C24+C26)*C7+C25*C8)/C7</f>
        <v>0.38330000000000003</v>
      </c>
      <c r="D23" s="63">
        <f t="shared" ref="D23:I23" si="4">((D24+D26)*D7+D25*D8)/D7</f>
        <v>0.21725</v>
      </c>
      <c r="E23" s="63">
        <f t="shared" si="4"/>
        <v>8.9125528619242958E-2</v>
      </c>
      <c r="F23" s="63">
        <f t="shared" si="4"/>
        <v>0.27749999999999997</v>
      </c>
      <c r="G23" s="63">
        <f t="shared" si="4"/>
        <v>0.75825000000000009</v>
      </c>
      <c r="H23" s="63">
        <f t="shared" si="4"/>
        <v>0.15604373999999996</v>
      </c>
      <c r="I23" s="63">
        <f t="shared" si="4"/>
        <v>0.42617342000000014</v>
      </c>
      <c r="J23" s="57"/>
      <c r="K23" s="110" t="s">
        <v>13</v>
      </c>
      <c r="L23" s="74"/>
      <c r="M23" s="75"/>
      <c r="N23" s="69"/>
      <c r="O23" s="69"/>
      <c r="P23" s="69"/>
      <c r="Q23" s="69"/>
      <c r="R23" s="69"/>
      <c r="S23" s="69"/>
      <c r="T23" s="69"/>
      <c r="U23" s="69"/>
      <c r="V23" s="69"/>
      <c r="W23" s="69"/>
      <c r="X23" s="69"/>
    </row>
    <row r="24" spans="2:24" ht="15" customHeight="1" x14ac:dyDescent="0.3">
      <c r="B24" s="109" t="s">
        <v>36</v>
      </c>
      <c r="C24" s="64">
        <v>0.2908</v>
      </c>
      <c r="D24" s="64">
        <v>0.16200000000000001</v>
      </c>
      <c r="E24" s="64">
        <f>Data!H17</f>
        <v>5.0236883762580883E-2</v>
      </c>
      <c r="F24" s="64">
        <v>0.2077</v>
      </c>
      <c r="G24" s="64">
        <v>0.58160000000000001</v>
      </c>
      <c r="H24" s="64">
        <v>0.1157</v>
      </c>
      <c r="I24" s="64">
        <v>0.32400000000000001</v>
      </c>
      <c r="J24" s="57"/>
      <c r="K24" s="110" t="s">
        <v>13</v>
      </c>
      <c r="L24" s="7"/>
      <c r="M24" s="7"/>
      <c r="N24" s="69"/>
      <c r="O24" s="69"/>
      <c r="P24" s="69"/>
      <c r="Q24" s="69"/>
      <c r="R24" s="69"/>
      <c r="S24" s="69"/>
      <c r="T24" s="69"/>
      <c r="U24" s="69"/>
      <c r="V24" s="69"/>
      <c r="W24" s="69"/>
      <c r="X24" s="69"/>
    </row>
    <row r="25" spans="2:24" ht="15" customHeight="1" x14ac:dyDescent="0.3">
      <c r="B25" s="109" t="s">
        <v>37</v>
      </c>
      <c r="C25" s="65">
        <v>8.5000000000000006E-2</v>
      </c>
      <c r="D25" s="64">
        <v>5.0500000000000003E-2</v>
      </c>
      <c r="E25" s="64">
        <f>Data!H18</f>
        <v>1.7777289713324144E-2</v>
      </c>
      <c r="F25" s="64">
        <v>5.96E-2</v>
      </c>
      <c r="G25" s="64">
        <v>0.15329999999999999</v>
      </c>
      <c r="H25" s="64">
        <v>3.5299999999999998E-2</v>
      </c>
      <c r="I25" s="64">
        <v>9.0999999999999998E-2</v>
      </c>
      <c r="J25" s="57"/>
      <c r="K25" s="110" t="s">
        <v>13</v>
      </c>
      <c r="L25" s="74"/>
      <c r="M25" s="75"/>
      <c r="N25" s="69"/>
      <c r="O25" s="69"/>
      <c r="P25" s="69"/>
      <c r="Q25" s="69"/>
      <c r="R25" s="69"/>
      <c r="S25" s="69"/>
      <c r="T25" s="69"/>
      <c r="U25" s="69"/>
      <c r="V25" s="69"/>
      <c r="W25" s="69"/>
      <c r="X25" s="69"/>
    </row>
    <row r="26" spans="2:24" ht="15" customHeight="1" x14ac:dyDescent="0.3">
      <c r="B26" s="109" t="s">
        <v>39</v>
      </c>
      <c r="C26" s="65">
        <v>0.05</v>
      </c>
      <c r="D26" s="63">
        <f>Data!M19</f>
        <v>2.9999999999999995E-2</v>
      </c>
      <c r="E26" s="63">
        <f>Data!N19</f>
        <v>2.9999999999999995E-2</v>
      </c>
      <c r="F26" s="63">
        <f>$C$26+($C$26*Uncertanties!J5)</f>
        <v>0.04</v>
      </c>
      <c r="G26" s="63">
        <f>$C$26+($C$26*Uncertanties!K5)</f>
        <v>0.1</v>
      </c>
      <c r="H26" s="63">
        <f>$D$26+($D$26*Uncertanties!L5)</f>
        <v>2.2693740000000004E-2</v>
      </c>
      <c r="I26" s="63">
        <f>$D$26+($D$26*Uncertanties!M5)</f>
        <v>5.6673420000000078E-2</v>
      </c>
      <c r="J26" s="57"/>
      <c r="K26" s="110" t="s">
        <v>30</v>
      </c>
      <c r="L26" s="74"/>
      <c r="M26" s="75"/>
      <c r="N26" s="69"/>
      <c r="O26" s="69"/>
      <c r="P26" s="69"/>
      <c r="Q26" s="69"/>
      <c r="R26" s="69"/>
      <c r="S26" s="69"/>
      <c r="T26" s="69"/>
      <c r="U26" s="69"/>
      <c r="V26" s="69"/>
      <c r="W26" s="69"/>
      <c r="X26" s="69"/>
    </row>
    <row r="27" spans="2:24" ht="15" customHeight="1" x14ac:dyDescent="0.3">
      <c r="B27" s="109" t="s">
        <v>89</v>
      </c>
      <c r="C27" s="66">
        <v>3.996</v>
      </c>
      <c r="D27" s="66">
        <f>Data!M20</f>
        <v>4</v>
      </c>
      <c r="E27" s="66">
        <f>Data!N20</f>
        <v>4</v>
      </c>
      <c r="F27" s="66">
        <f>2*1.11</f>
        <v>2.2200000000000002</v>
      </c>
      <c r="G27" s="66">
        <f>17.3*1.11</f>
        <v>19.203000000000003</v>
      </c>
      <c r="H27" s="66">
        <f>2*1.11</f>
        <v>2.2200000000000002</v>
      </c>
      <c r="I27" s="66">
        <f>17.3*1.11</f>
        <v>19.203000000000003</v>
      </c>
      <c r="J27" s="57"/>
      <c r="K27" s="110" t="s">
        <v>76</v>
      </c>
      <c r="L27" s="74"/>
      <c r="M27" s="75"/>
      <c r="N27" s="69"/>
      <c r="O27" s="69"/>
      <c r="P27" s="69"/>
      <c r="Q27" s="69"/>
      <c r="R27" s="69"/>
      <c r="S27" s="69"/>
      <c r="T27" s="69"/>
      <c r="U27" s="69"/>
      <c r="V27" s="69"/>
      <c r="W27" s="69"/>
      <c r="X27" s="69"/>
    </row>
    <row r="28" spans="2:24" ht="15" customHeight="1" x14ac:dyDescent="0.3">
      <c r="B28" s="109" t="s">
        <v>77</v>
      </c>
      <c r="C28" s="66">
        <f>1.8*1.11</f>
        <v>1.9980000000000002</v>
      </c>
      <c r="D28" s="66">
        <f>Data!M21</f>
        <v>2</v>
      </c>
      <c r="E28" s="66">
        <f>Data!N21</f>
        <v>2</v>
      </c>
      <c r="F28" s="66">
        <f>0.3*1.11</f>
        <v>0.33300000000000002</v>
      </c>
      <c r="G28" s="66">
        <f>5.6*1.11</f>
        <v>6.2160000000000002</v>
      </c>
      <c r="H28" s="66">
        <f>0.3*1.11</f>
        <v>0.33300000000000002</v>
      </c>
      <c r="I28" s="66">
        <f>5.6*1.11</f>
        <v>6.2160000000000002</v>
      </c>
      <c r="J28" s="57"/>
      <c r="K28" s="110" t="s">
        <v>76</v>
      </c>
      <c r="L28" s="74"/>
      <c r="M28" s="75"/>
      <c r="N28" s="69"/>
      <c r="O28" s="69"/>
      <c r="P28" s="69"/>
      <c r="Q28" s="69"/>
      <c r="R28" s="69"/>
      <c r="S28" s="69"/>
      <c r="T28" s="69"/>
      <c r="U28" s="69"/>
      <c r="V28" s="69"/>
      <c r="W28" s="69"/>
      <c r="X28" s="69"/>
    </row>
    <row r="29" spans="2:24" ht="15" customHeight="1" x14ac:dyDescent="0.3">
      <c r="B29" s="108" t="s">
        <v>42</v>
      </c>
      <c r="C29" s="56"/>
      <c r="D29" s="56"/>
      <c r="E29" s="56"/>
      <c r="F29" s="56"/>
      <c r="G29" s="56"/>
      <c r="H29" s="56"/>
      <c r="I29" s="56"/>
      <c r="J29" s="56"/>
      <c r="K29" s="113"/>
      <c r="L29" s="76"/>
      <c r="M29" s="77"/>
      <c r="N29" s="77"/>
      <c r="O29" s="69"/>
      <c r="P29" s="69"/>
      <c r="Q29" s="69"/>
      <c r="R29" s="69"/>
      <c r="S29" s="69"/>
      <c r="T29" s="69"/>
      <c r="U29" s="69"/>
      <c r="V29" s="69"/>
      <c r="W29" s="69"/>
      <c r="X29" s="69"/>
    </row>
    <row r="30" spans="2:24" ht="15" customHeight="1" x14ac:dyDescent="0.3">
      <c r="B30" s="109" t="s">
        <v>43</v>
      </c>
      <c r="C30" s="64">
        <f>((C24+C26)*C7+C25*C8)/C8</f>
        <v>0.76660000000000006</v>
      </c>
      <c r="D30" s="64">
        <f t="shared" ref="D30:I30" si="5">((D24+D26)*D7+D25*D8)/D8</f>
        <v>0.4345</v>
      </c>
      <c r="E30" s="64">
        <f t="shared" si="5"/>
        <v>0.17825105723848592</v>
      </c>
      <c r="F30" s="64">
        <f t="shared" si="5"/>
        <v>0.55499999999999994</v>
      </c>
      <c r="G30" s="64">
        <f t="shared" si="5"/>
        <v>1.5165000000000002</v>
      </c>
      <c r="H30" s="64">
        <f t="shared" si="5"/>
        <v>0.31208747999999992</v>
      </c>
      <c r="I30" s="64">
        <f t="shared" si="5"/>
        <v>0.85234684000000027</v>
      </c>
      <c r="J30" s="57"/>
      <c r="K30" s="110" t="s">
        <v>125</v>
      </c>
      <c r="L30" s="74"/>
      <c r="M30" s="75"/>
      <c r="N30" s="69"/>
      <c r="O30" s="69"/>
      <c r="P30" s="69"/>
      <c r="Q30" s="69"/>
      <c r="R30" s="69"/>
      <c r="S30" s="69"/>
      <c r="T30" s="69"/>
      <c r="U30" s="69"/>
      <c r="V30" s="69"/>
      <c r="W30" s="69"/>
      <c r="X30" s="69"/>
    </row>
    <row r="31" spans="2:24" ht="15" customHeight="1" x14ac:dyDescent="0.3">
      <c r="B31" s="109" t="s">
        <v>45</v>
      </c>
      <c r="C31" s="57">
        <f>C33/(C7/C8)</f>
        <v>28</v>
      </c>
      <c r="D31" s="57">
        <f t="shared" ref="D31:I31" si="6">D33/(D7/D8)</f>
        <v>28</v>
      </c>
      <c r="E31" s="57">
        <f t="shared" si="6"/>
        <v>28</v>
      </c>
      <c r="F31" s="57">
        <f t="shared" si="6"/>
        <v>21</v>
      </c>
      <c r="G31" s="57">
        <f t="shared" si="6"/>
        <v>35</v>
      </c>
      <c r="H31" s="57">
        <f t="shared" si="6"/>
        <v>21</v>
      </c>
      <c r="I31" s="57">
        <f t="shared" si="6"/>
        <v>35</v>
      </c>
      <c r="J31" s="57" t="s">
        <v>91</v>
      </c>
      <c r="K31" s="110" t="s">
        <v>30</v>
      </c>
      <c r="L31" s="78"/>
      <c r="M31" s="69"/>
      <c r="N31" s="75"/>
      <c r="O31" s="75"/>
      <c r="P31" s="8"/>
      <c r="Q31" s="8"/>
      <c r="R31" s="8"/>
      <c r="S31" s="8"/>
      <c r="T31" s="8"/>
      <c r="U31" s="8"/>
      <c r="V31" s="8"/>
      <c r="W31" s="8"/>
      <c r="X31" s="8"/>
    </row>
    <row r="32" spans="2:24" ht="15" customHeight="1" x14ac:dyDescent="0.3">
      <c r="B32" s="109" t="s">
        <v>46</v>
      </c>
      <c r="C32" s="57">
        <f t="shared" ref="C32:I32" si="7">C34/(C7/C8)</f>
        <v>13000</v>
      </c>
      <c r="D32" s="57">
        <f t="shared" si="7"/>
        <v>13000</v>
      </c>
      <c r="E32" s="57">
        <f t="shared" si="7"/>
        <v>13000</v>
      </c>
      <c r="F32" s="57">
        <f t="shared" si="7"/>
        <v>9750</v>
      </c>
      <c r="G32" s="57">
        <f t="shared" si="7"/>
        <v>16250</v>
      </c>
      <c r="H32" s="57">
        <f t="shared" si="7"/>
        <v>9750</v>
      </c>
      <c r="I32" s="57">
        <f t="shared" si="7"/>
        <v>16250</v>
      </c>
      <c r="J32" s="57" t="s">
        <v>91</v>
      </c>
      <c r="K32" s="110" t="s">
        <v>30</v>
      </c>
      <c r="L32" s="78"/>
      <c r="M32" s="69"/>
      <c r="N32" s="75"/>
      <c r="O32" s="75"/>
      <c r="P32" s="8"/>
      <c r="Q32" s="8"/>
      <c r="R32" s="8"/>
      <c r="S32" s="8"/>
      <c r="T32" s="8"/>
      <c r="U32" s="8"/>
      <c r="V32" s="8"/>
      <c r="W32" s="8"/>
      <c r="X32" s="9"/>
    </row>
    <row r="33" spans="2:24" ht="15" customHeight="1" x14ac:dyDescent="0.3">
      <c r="B33" s="109" t="s">
        <v>47</v>
      </c>
      <c r="C33" s="57">
        <v>56</v>
      </c>
      <c r="D33" s="57">
        <v>56</v>
      </c>
      <c r="E33" s="57">
        <v>56</v>
      </c>
      <c r="F33" s="57">
        <v>42</v>
      </c>
      <c r="G33" s="57">
        <v>70</v>
      </c>
      <c r="H33" s="57">
        <f t="shared" ref="H33:H34" si="8">F33</f>
        <v>42</v>
      </c>
      <c r="I33" s="57">
        <f t="shared" ref="I33:I34" si="9">G33</f>
        <v>70</v>
      </c>
      <c r="J33" s="57" t="s">
        <v>92</v>
      </c>
      <c r="K33" s="110" t="s">
        <v>30</v>
      </c>
      <c r="L33" s="78"/>
      <c r="M33" s="69"/>
      <c r="N33" s="75"/>
      <c r="O33" s="75"/>
      <c r="P33" s="8"/>
      <c r="Q33" s="8"/>
      <c r="R33" s="8"/>
      <c r="S33" s="8"/>
      <c r="T33" s="8"/>
      <c r="U33" s="8"/>
      <c r="V33" s="8"/>
      <c r="W33" s="8"/>
      <c r="X33" s="9"/>
    </row>
    <row r="34" spans="2:24" ht="15" customHeight="1" thickBot="1" x14ac:dyDescent="0.35">
      <c r="B34" s="114" t="s">
        <v>48</v>
      </c>
      <c r="C34" s="115">
        <v>26000</v>
      </c>
      <c r="D34" s="115">
        <v>26000</v>
      </c>
      <c r="E34" s="115">
        <v>26000</v>
      </c>
      <c r="F34" s="115">
        <v>19500</v>
      </c>
      <c r="G34" s="115">
        <v>32500</v>
      </c>
      <c r="H34" s="115">
        <f t="shared" si="8"/>
        <v>19500</v>
      </c>
      <c r="I34" s="115">
        <f t="shared" si="9"/>
        <v>32500</v>
      </c>
      <c r="J34" s="115" t="s">
        <v>92</v>
      </c>
      <c r="K34" s="116" t="s">
        <v>30</v>
      </c>
      <c r="L34" s="10"/>
      <c r="M34" s="11"/>
      <c r="N34" s="75"/>
      <c r="O34" s="75"/>
      <c r="P34" s="8"/>
      <c r="Q34" s="8"/>
      <c r="R34" s="8"/>
      <c r="S34" s="8"/>
      <c r="T34" s="8"/>
      <c r="U34" s="8"/>
      <c r="V34" s="8"/>
      <c r="W34" s="8"/>
      <c r="X34" s="9"/>
    </row>
    <row r="35" spans="2:24" x14ac:dyDescent="0.3">
      <c r="B35" s="12"/>
    </row>
    <row r="36" spans="2:24" ht="18" x14ac:dyDescent="0.3">
      <c r="B36" s="13"/>
    </row>
    <row r="37" spans="2:24" x14ac:dyDescent="0.3">
      <c r="B37" s="12"/>
    </row>
    <row r="38" spans="2:24" x14ac:dyDescent="0.3">
      <c r="B38" s="14" t="s">
        <v>49</v>
      </c>
      <c r="C38" s="14"/>
      <c r="D38" s="8"/>
      <c r="E38" s="8"/>
      <c r="F38" s="8"/>
      <c r="G38" s="8"/>
      <c r="H38" s="8"/>
      <c r="I38" s="8"/>
      <c r="J38" s="8"/>
      <c r="K38" s="8"/>
      <c r="L38" s="9"/>
      <c r="M38" s="69"/>
      <c r="N38" s="75"/>
      <c r="O38" s="75"/>
      <c r="P38" s="75"/>
      <c r="Q38" s="75"/>
      <c r="R38" s="75"/>
      <c r="S38" s="75"/>
      <c r="T38" s="75"/>
      <c r="U38" s="75"/>
      <c r="V38" s="75"/>
      <c r="W38" s="69"/>
    </row>
    <row r="39" spans="2:24" x14ac:dyDescent="0.3">
      <c r="B39" s="10" t="s">
        <v>16</v>
      </c>
      <c r="C39" s="15" t="s">
        <v>50</v>
      </c>
      <c r="D39" s="8"/>
      <c r="E39" s="8"/>
      <c r="F39" s="8"/>
      <c r="G39" s="8"/>
      <c r="H39" s="8"/>
      <c r="I39" s="8"/>
      <c r="J39" s="8"/>
      <c r="K39" s="8"/>
      <c r="L39" s="9"/>
      <c r="M39" s="69"/>
      <c r="N39" s="75"/>
      <c r="O39" s="75"/>
      <c r="P39" s="75"/>
      <c r="Q39" s="75"/>
      <c r="R39" s="75"/>
      <c r="S39" s="75"/>
      <c r="T39" s="75"/>
      <c r="U39" s="75"/>
      <c r="V39" s="75"/>
      <c r="W39" s="69"/>
    </row>
    <row r="40" spans="2:24" x14ac:dyDescent="0.3">
      <c r="B40" s="10" t="s">
        <v>24</v>
      </c>
      <c r="C40" s="15" t="s">
        <v>51</v>
      </c>
      <c r="D40" s="9"/>
      <c r="E40" s="9"/>
      <c r="F40" s="9"/>
      <c r="G40" s="9"/>
      <c r="H40" s="9"/>
      <c r="I40" s="9"/>
      <c r="J40" s="9"/>
      <c r="K40" s="9"/>
      <c r="L40" s="9"/>
      <c r="M40" s="9"/>
      <c r="N40" s="8"/>
      <c r="O40" s="8"/>
      <c r="P40" s="8"/>
      <c r="Q40" s="8"/>
      <c r="R40" s="8"/>
      <c r="S40" s="8"/>
      <c r="T40" s="8"/>
      <c r="U40" s="8"/>
      <c r="V40" s="8"/>
      <c r="W40" s="9"/>
    </row>
    <row r="41" spans="2:24" x14ac:dyDescent="0.3">
      <c r="B41" s="10" t="s">
        <v>26</v>
      </c>
      <c r="C41" s="15" t="s">
        <v>52</v>
      </c>
      <c r="D41" s="9"/>
      <c r="E41" s="9"/>
      <c r="F41" s="9"/>
      <c r="G41" s="9"/>
      <c r="H41" s="9"/>
      <c r="I41" s="9"/>
      <c r="J41" s="9"/>
      <c r="K41" s="9"/>
      <c r="L41" s="9"/>
      <c r="M41" s="9"/>
      <c r="N41" s="8"/>
      <c r="O41" s="8"/>
      <c r="P41" s="8"/>
      <c r="Q41" s="8"/>
      <c r="R41" s="8"/>
      <c r="S41" s="8"/>
      <c r="T41" s="8"/>
      <c r="U41" s="8"/>
      <c r="V41" s="8"/>
      <c r="W41" s="9"/>
    </row>
    <row r="42" spans="2:24" x14ac:dyDescent="0.3">
      <c r="B42" s="10" t="s">
        <v>33</v>
      </c>
      <c r="C42" s="5" t="s">
        <v>53</v>
      </c>
      <c r="M42" s="9"/>
      <c r="N42" s="8"/>
      <c r="O42" s="8"/>
      <c r="P42" s="8"/>
      <c r="Q42" s="8"/>
      <c r="R42" s="8"/>
      <c r="S42" s="8"/>
      <c r="T42" s="8"/>
      <c r="U42" s="8"/>
      <c r="V42" s="8"/>
      <c r="W42" s="9"/>
    </row>
    <row r="43" spans="2:24" ht="18" customHeight="1" x14ac:dyDescent="0.3">
      <c r="B43" s="10" t="s">
        <v>90</v>
      </c>
      <c r="C43" s="15" t="s">
        <v>54</v>
      </c>
      <c r="M43" s="9"/>
      <c r="N43" s="8"/>
      <c r="O43" s="8"/>
      <c r="P43" s="8"/>
      <c r="Q43" s="8"/>
      <c r="R43" s="8"/>
      <c r="S43" s="8"/>
      <c r="T43" s="8"/>
      <c r="U43" s="8"/>
      <c r="V43" s="8"/>
      <c r="W43" s="9"/>
    </row>
    <row r="44" spans="2:24" x14ac:dyDescent="0.3">
      <c r="B44" s="10" t="s">
        <v>91</v>
      </c>
      <c r="C44" s="1" t="s">
        <v>95</v>
      </c>
      <c r="M44" s="9"/>
      <c r="N44" s="8"/>
      <c r="O44" s="8"/>
      <c r="P44" s="8"/>
      <c r="Q44" s="8"/>
      <c r="R44" s="8"/>
      <c r="S44" s="8"/>
      <c r="T44" s="8"/>
      <c r="U44" s="8"/>
      <c r="V44" s="8"/>
      <c r="W44" s="9"/>
    </row>
    <row r="45" spans="2:24" ht="15" customHeight="1" x14ac:dyDescent="0.3">
      <c r="B45" s="10" t="s">
        <v>38</v>
      </c>
      <c r="C45" s="15" t="s">
        <v>96</v>
      </c>
      <c r="D45" s="15"/>
      <c r="E45" s="15"/>
      <c r="F45" s="15"/>
      <c r="G45" s="15"/>
      <c r="H45" s="15"/>
      <c r="I45" s="15"/>
      <c r="J45" s="15"/>
      <c r="K45" s="15"/>
      <c r="L45" s="15"/>
      <c r="M45" s="15"/>
      <c r="N45" s="75"/>
      <c r="O45" s="75"/>
      <c r="P45" s="75"/>
      <c r="Q45" s="75"/>
      <c r="R45" s="75"/>
      <c r="S45" s="75"/>
      <c r="T45" s="75"/>
      <c r="U45" s="75"/>
      <c r="V45" s="75"/>
      <c r="W45" s="69"/>
    </row>
    <row r="46" spans="2:24" ht="14.45" customHeight="1" x14ac:dyDescent="0.3">
      <c r="B46" s="10" t="s">
        <v>40</v>
      </c>
      <c r="C46" s="15" t="s">
        <v>93</v>
      </c>
      <c r="D46" s="15"/>
      <c r="E46" s="15"/>
      <c r="F46" s="15"/>
      <c r="G46" s="15"/>
      <c r="H46" s="15"/>
      <c r="I46" s="15"/>
      <c r="J46" s="15"/>
      <c r="K46" s="15"/>
      <c r="L46" s="15"/>
      <c r="M46" s="15"/>
      <c r="N46" s="75"/>
      <c r="O46" s="75"/>
      <c r="P46" s="75"/>
      <c r="Q46" s="75"/>
      <c r="R46" s="75"/>
      <c r="S46" s="75"/>
      <c r="T46" s="75"/>
      <c r="U46" s="75"/>
      <c r="V46" s="75"/>
      <c r="W46" s="69"/>
    </row>
    <row r="47" spans="2:24" ht="14.45" customHeight="1" x14ac:dyDescent="0.3">
      <c r="B47" s="10" t="s">
        <v>41</v>
      </c>
      <c r="C47" s="15" t="s">
        <v>94</v>
      </c>
      <c r="D47" s="15"/>
      <c r="E47" s="15"/>
      <c r="F47" s="15"/>
      <c r="G47" s="15"/>
      <c r="H47" s="15"/>
      <c r="I47" s="15"/>
      <c r="J47" s="15"/>
      <c r="K47" s="15"/>
      <c r="L47" s="15"/>
      <c r="M47" s="15"/>
      <c r="N47" s="8"/>
      <c r="O47" s="8"/>
      <c r="P47" s="8"/>
      <c r="Q47" s="8"/>
      <c r="R47" s="8"/>
      <c r="S47" s="8"/>
      <c r="T47" s="8"/>
      <c r="U47" s="8"/>
      <c r="V47" s="8"/>
      <c r="W47" s="9"/>
    </row>
    <row r="48" spans="2:24" x14ac:dyDescent="0.3">
      <c r="B48" s="10"/>
      <c r="C48" s="1"/>
      <c r="M48" s="9"/>
      <c r="N48" s="8"/>
      <c r="O48" s="8"/>
      <c r="P48" s="8"/>
      <c r="Q48" s="8"/>
      <c r="R48" s="8"/>
      <c r="S48" s="8"/>
      <c r="T48" s="8"/>
      <c r="U48" s="8"/>
      <c r="V48" s="8"/>
      <c r="W48" s="9"/>
    </row>
    <row r="49" spans="2:23" x14ac:dyDescent="0.3">
      <c r="B49" s="14" t="s">
        <v>55</v>
      </c>
      <c r="D49" s="9"/>
      <c r="E49" s="9"/>
      <c r="F49" s="9"/>
      <c r="G49" s="9"/>
      <c r="H49" s="9"/>
      <c r="I49" s="9"/>
      <c r="J49" s="9"/>
      <c r="K49" s="9"/>
      <c r="L49" s="9"/>
      <c r="M49" s="9"/>
      <c r="N49" s="8"/>
      <c r="O49" s="8"/>
      <c r="P49" s="8"/>
      <c r="Q49" s="8"/>
      <c r="R49" s="8"/>
      <c r="S49" s="8"/>
      <c r="T49" s="8"/>
      <c r="U49" s="8"/>
      <c r="V49" s="8"/>
      <c r="W49" s="9"/>
    </row>
    <row r="50" spans="2:23" x14ac:dyDescent="0.3">
      <c r="B50" s="16" t="s">
        <v>13</v>
      </c>
      <c r="C50" s="1" t="s">
        <v>56</v>
      </c>
      <c r="D50" s="9"/>
      <c r="E50" s="9"/>
      <c r="F50" s="9"/>
      <c r="G50" s="9"/>
      <c r="H50" s="9"/>
      <c r="I50" s="9"/>
      <c r="J50" s="9"/>
      <c r="K50" s="9"/>
      <c r="L50" s="9"/>
      <c r="M50" s="9"/>
      <c r="N50" s="8"/>
      <c r="O50" s="8"/>
      <c r="P50" s="8"/>
      <c r="Q50" s="8"/>
      <c r="R50" s="8"/>
      <c r="S50" s="8"/>
      <c r="T50" s="8"/>
      <c r="U50" s="8"/>
      <c r="V50" s="8"/>
      <c r="W50" s="9"/>
    </row>
    <row r="51" spans="2:23" x14ac:dyDescent="0.3">
      <c r="B51" s="16" t="s">
        <v>20</v>
      </c>
      <c r="C51" s="7" t="s">
        <v>57</v>
      </c>
      <c r="D51" s="9"/>
      <c r="E51" s="9"/>
      <c r="F51" s="9"/>
      <c r="G51" s="9"/>
      <c r="H51" s="9"/>
      <c r="I51" s="9"/>
      <c r="J51" s="9"/>
      <c r="K51" s="9"/>
      <c r="L51" s="9"/>
      <c r="M51" s="9"/>
      <c r="N51" s="8"/>
      <c r="O51" s="8"/>
      <c r="P51" s="8"/>
      <c r="Q51" s="8"/>
      <c r="R51" s="8"/>
      <c r="S51" s="8"/>
      <c r="T51" s="8"/>
      <c r="U51" s="8"/>
      <c r="V51" s="8"/>
      <c r="W51" s="9"/>
    </row>
    <row r="52" spans="2:23" x14ac:dyDescent="0.3">
      <c r="B52" s="16" t="s">
        <v>58</v>
      </c>
      <c r="C52" s="7" t="s">
        <v>59</v>
      </c>
      <c r="D52" s="9"/>
      <c r="E52" s="9"/>
      <c r="F52" s="9"/>
      <c r="G52" s="9"/>
      <c r="H52" s="9"/>
      <c r="I52" s="9"/>
      <c r="J52" s="9"/>
      <c r="K52" s="9"/>
      <c r="L52" s="9"/>
      <c r="M52" s="9"/>
      <c r="N52" s="8"/>
      <c r="O52" s="8"/>
      <c r="P52" s="8"/>
      <c r="Q52" s="8"/>
      <c r="R52" s="8"/>
      <c r="S52" s="8"/>
      <c r="T52" s="8"/>
      <c r="U52" s="8"/>
      <c r="V52" s="8"/>
      <c r="W52" s="9"/>
    </row>
    <row r="53" spans="2:23" x14ac:dyDescent="0.3">
      <c r="B53" s="16" t="s">
        <v>60</v>
      </c>
      <c r="C53" s="5" t="s">
        <v>61</v>
      </c>
      <c r="D53" s="9"/>
      <c r="E53" s="9"/>
      <c r="F53" s="9"/>
      <c r="G53" s="9"/>
      <c r="H53" s="9"/>
      <c r="I53" s="9"/>
      <c r="J53" s="9"/>
      <c r="K53" s="9"/>
      <c r="L53" s="9"/>
      <c r="M53" s="9"/>
      <c r="N53" s="8"/>
      <c r="O53" s="8"/>
      <c r="P53" s="8"/>
      <c r="Q53" s="8"/>
      <c r="R53" s="8"/>
      <c r="S53" s="8"/>
      <c r="T53" s="8"/>
      <c r="U53" s="8"/>
      <c r="V53" s="8"/>
      <c r="W53" s="9"/>
    </row>
    <row r="54" spans="2:23" x14ac:dyDescent="0.3">
      <c r="B54" s="16" t="s">
        <v>62</v>
      </c>
      <c r="C54" s="5" t="s">
        <v>129</v>
      </c>
      <c r="D54" s="9"/>
      <c r="E54" s="9"/>
      <c r="F54" s="9"/>
      <c r="G54" s="9"/>
      <c r="H54" s="9"/>
      <c r="I54" s="9"/>
      <c r="J54" s="9"/>
      <c r="K54" s="9"/>
      <c r="L54" s="9"/>
      <c r="M54" s="9"/>
      <c r="N54" s="8"/>
      <c r="O54" s="8"/>
      <c r="P54" s="8"/>
      <c r="Q54" s="8"/>
      <c r="R54" s="8"/>
      <c r="S54" s="8"/>
      <c r="T54" s="8"/>
      <c r="U54" s="8"/>
      <c r="V54" s="8"/>
      <c r="W54" s="9"/>
    </row>
    <row r="55" spans="2:23" x14ac:dyDescent="0.3">
      <c r="B55" s="16" t="s">
        <v>74</v>
      </c>
      <c r="C55" s="5" t="s">
        <v>88</v>
      </c>
      <c r="D55" s="9"/>
      <c r="E55" s="9"/>
      <c r="F55" s="9"/>
      <c r="G55" s="9"/>
      <c r="H55" s="9"/>
      <c r="I55" s="9"/>
      <c r="J55" s="9"/>
      <c r="K55" s="9"/>
      <c r="L55" s="9"/>
      <c r="M55" s="9"/>
      <c r="N55" s="8"/>
      <c r="O55" s="8"/>
      <c r="P55" s="8"/>
      <c r="Q55" s="8"/>
      <c r="R55" s="8"/>
      <c r="S55" s="8"/>
      <c r="T55" s="8"/>
      <c r="U55" s="8"/>
      <c r="V55" s="8"/>
      <c r="W55" s="9"/>
    </row>
    <row r="56" spans="2:23" x14ac:dyDescent="0.3">
      <c r="B56" s="16" t="s">
        <v>76</v>
      </c>
      <c r="C56" s="15" t="s">
        <v>130</v>
      </c>
      <c r="D56" s="9"/>
      <c r="E56" s="9"/>
      <c r="F56" s="9"/>
      <c r="G56" s="9"/>
      <c r="H56" s="9"/>
      <c r="I56" s="9"/>
      <c r="J56" s="9"/>
      <c r="K56" s="9"/>
      <c r="L56" s="9"/>
      <c r="M56" s="9"/>
      <c r="N56" s="8"/>
      <c r="O56" s="8"/>
      <c r="P56" s="8"/>
      <c r="Q56" s="8"/>
      <c r="R56" s="8"/>
      <c r="S56" s="8"/>
      <c r="T56" s="8"/>
      <c r="U56" s="8"/>
      <c r="V56" s="8"/>
      <c r="W56" s="9"/>
    </row>
    <row r="57" spans="2:23" x14ac:dyDescent="0.3">
      <c r="B57" s="17"/>
      <c r="C57" s="17"/>
      <c r="D57" s="17"/>
      <c r="E57" s="17"/>
      <c r="F57" s="17"/>
      <c r="G57" s="17"/>
      <c r="H57" s="17"/>
      <c r="I57" s="17"/>
      <c r="J57" s="17"/>
      <c r="K57" s="17"/>
      <c r="L57" s="17"/>
      <c r="M57" s="17"/>
      <c r="N57" s="17"/>
      <c r="O57" s="17"/>
      <c r="P57" s="17"/>
      <c r="Q57" s="17"/>
      <c r="R57" s="17"/>
      <c r="S57" s="17"/>
      <c r="T57" s="17"/>
      <c r="U57" s="17"/>
      <c r="V57" s="17"/>
      <c r="W57" s="17"/>
    </row>
    <row r="59" spans="2:23" x14ac:dyDescent="0.3">
      <c r="B59" s="12"/>
    </row>
    <row r="60" spans="2:23" x14ac:dyDescent="0.3">
      <c r="B60" s="12"/>
    </row>
    <row r="61" spans="2:23" x14ac:dyDescent="0.3">
      <c r="B61" s="18"/>
    </row>
    <row r="63" spans="2:23" x14ac:dyDescent="0.3">
      <c r="B63" s="19"/>
    </row>
    <row r="64" spans="2:23" x14ac:dyDescent="0.3">
      <c r="B64" s="19"/>
    </row>
    <row r="65" spans="2:2" x14ac:dyDescent="0.3">
      <c r="B65" s="19"/>
    </row>
    <row r="66" spans="2:2" x14ac:dyDescent="0.3">
      <c r="B66" s="19"/>
    </row>
    <row r="67" spans="2:2" x14ac:dyDescent="0.3">
      <c r="B67" s="19"/>
    </row>
    <row r="68" spans="2:2" x14ac:dyDescent="0.3">
      <c r="B68" s="19"/>
    </row>
    <row r="69" spans="2:2" x14ac:dyDescent="0.3">
      <c r="B69" s="19"/>
    </row>
    <row r="70" spans="2:2" x14ac:dyDescent="0.3">
      <c r="B70" s="19"/>
    </row>
    <row r="71" spans="2:2" x14ac:dyDescent="0.3">
      <c r="B71" s="19"/>
    </row>
    <row r="72" spans="2:2" x14ac:dyDescent="0.3">
      <c r="B72" s="19"/>
    </row>
    <row r="73" spans="2:2" x14ac:dyDescent="0.3">
      <c r="B73" s="19"/>
    </row>
    <row r="74" spans="2:2" x14ac:dyDescent="0.3">
      <c r="B74" s="19"/>
    </row>
    <row r="75" spans="2:2" x14ac:dyDescent="0.3">
      <c r="B75" s="19"/>
    </row>
    <row r="76" spans="2:2" x14ac:dyDescent="0.3">
      <c r="B76" s="19"/>
    </row>
    <row r="77" spans="2:2" x14ac:dyDescent="0.3">
      <c r="B77" s="19"/>
    </row>
    <row r="78" spans="2:2" x14ac:dyDescent="0.3">
      <c r="B78" s="19"/>
    </row>
    <row r="79" spans="2:2" x14ac:dyDescent="0.3">
      <c r="B79" s="19"/>
    </row>
    <row r="80" spans="2:2" x14ac:dyDescent="0.3">
      <c r="B80" s="19"/>
    </row>
    <row r="81" spans="2:2" x14ac:dyDescent="0.3">
      <c r="B81" s="19"/>
    </row>
    <row r="82" spans="2:2" x14ac:dyDescent="0.3">
      <c r="B82" s="19"/>
    </row>
    <row r="83" spans="2:2" x14ac:dyDescent="0.3">
      <c r="B83" s="19"/>
    </row>
    <row r="84" spans="2:2" x14ac:dyDescent="0.3">
      <c r="B84" s="19"/>
    </row>
    <row r="85" spans="2:2" x14ac:dyDescent="0.3">
      <c r="B85" s="19"/>
    </row>
    <row r="86" spans="2:2" x14ac:dyDescent="0.3">
      <c r="B86" s="19"/>
    </row>
    <row r="87" spans="2:2" x14ac:dyDescent="0.3">
      <c r="B87" s="19"/>
    </row>
    <row r="88" spans="2:2" x14ac:dyDescent="0.3">
      <c r="B88" s="19"/>
    </row>
    <row r="89" spans="2:2" x14ac:dyDescent="0.3">
      <c r="B89" s="19"/>
    </row>
    <row r="90" spans="2:2" x14ac:dyDescent="0.3">
      <c r="B90" s="19"/>
    </row>
    <row r="91" spans="2:2" x14ac:dyDescent="0.3">
      <c r="B91" s="19"/>
    </row>
    <row r="92" spans="2:2" x14ac:dyDescent="0.3">
      <c r="B92" s="19"/>
    </row>
    <row r="93" spans="2:2" x14ac:dyDescent="0.3">
      <c r="B93" s="20"/>
    </row>
    <row r="94" spans="2:2" x14ac:dyDescent="0.3">
      <c r="B94" s="19"/>
    </row>
  </sheetData>
  <mergeCells count="88">
    <mergeCell ref="C5:E5"/>
    <mergeCell ref="C6:E6"/>
    <mergeCell ref="S45:S46"/>
    <mergeCell ref="T45:T46"/>
    <mergeCell ref="U45:U46"/>
    <mergeCell ref="R38:R39"/>
    <mergeCell ref="S38:S39"/>
    <mergeCell ref="T38:T39"/>
    <mergeCell ref="U38:U39"/>
    <mergeCell ref="L31:M31"/>
    <mergeCell ref="N31:O31"/>
    <mergeCell ref="L32:M32"/>
    <mergeCell ref="N32:O32"/>
    <mergeCell ref="L33:M33"/>
    <mergeCell ref="N33:O33"/>
    <mergeCell ref="L29:N29"/>
    <mergeCell ref="V45:V46"/>
    <mergeCell ref="W45:W46"/>
    <mergeCell ref="N45:N46"/>
    <mergeCell ref="O45:O46"/>
    <mergeCell ref="P45:P46"/>
    <mergeCell ref="Q45:Q46"/>
    <mergeCell ref="R45:R46"/>
    <mergeCell ref="V38:V39"/>
    <mergeCell ref="W38:W39"/>
    <mergeCell ref="N34:O34"/>
    <mergeCell ref="M38:M39"/>
    <mergeCell ref="N38:N39"/>
    <mergeCell ref="O38:O39"/>
    <mergeCell ref="P38:P39"/>
    <mergeCell ref="Q38:Q39"/>
    <mergeCell ref="O29:X29"/>
    <mergeCell ref="L30:M30"/>
    <mergeCell ref="N30:X30"/>
    <mergeCell ref="L18:M18"/>
    <mergeCell ref="N18:O18"/>
    <mergeCell ref="L26:M26"/>
    <mergeCell ref="N26:X26"/>
    <mergeCell ref="L27:M27"/>
    <mergeCell ref="N27:X27"/>
    <mergeCell ref="L28:M28"/>
    <mergeCell ref="N28:X28"/>
    <mergeCell ref="L25:M25"/>
    <mergeCell ref="N25:X25"/>
    <mergeCell ref="L22:N22"/>
    <mergeCell ref="O22:X22"/>
    <mergeCell ref="L23:M23"/>
    <mergeCell ref="N23:X23"/>
    <mergeCell ref="N24:X24"/>
    <mergeCell ref="L14:M14"/>
    <mergeCell ref="N14:X14"/>
    <mergeCell ref="L15:M15"/>
    <mergeCell ref="N15:X15"/>
    <mergeCell ref="L16:M16"/>
    <mergeCell ref="N16:X16"/>
    <mergeCell ref="L17:M17"/>
    <mergeCell ref="N17:X17"/>
    <mergeCell ref="L19:N19"/>
    <mergeCell ref="O19:X19"/>
    <mergeCell ref="L20:L21"/>
    <mergeCell ref="M20:X20"/>
    <mergeCell ref="M21:X21"/>
    <mergeCell ref="L11:M11"/>
    <mergeCell ref="N11:X11"/>
    <mergeCell ref="L12:M12"/>
    <mergeCell ref="N12:X12"/>
    <mergeCell ref="L13:M13"/>
    <mergeCell ref="N13:X13"/>
    <mergeCell ref="L10:M10"/>
    <mergeCell ref="N10:X10"/>
    <mergeCell ref="L4:M4"/>
    <mergeCell ref="N4:X4"/>
    <mergeCell ref="L5:M5"/>
    <mergeCell ref="N5:X5"/>
    <mergeCell ref="L6:M6"/>
    <mergeCell ref="N6:X6"/>
    <mergeCell ref="N7:X7"/>
    <mergeCell ref="L8:M8"/>
    <mergeCell ref="N8:X8"/>
    <mergeCell ref="L9:M9"/>
    <mergeCell ref="N9:X9"/>
    <mergeCell ref="C2:K2"/>
    <mergeCell ref="L2:M2"/>
    <mergeCell ref="N2:X2"/>
    <mergeCell ref="F3:G3"/>
    <mergeCell ref="H3:I3"/>
    <mergeCell ref="L3:M3"/>
    <mergeCell ref="N3:X3"/>
  </mergeCells>
  <conditionalFormatting sqref="C54">
    <cfRule type="duplicateValues" dxfId="3" priority="4"/>
  </conditionalFormatting>
  <conditionalFormatting sqref="C55">
    <cfRule type="duplicateValues" dxfId="2" priority="1"/>
  </conditionalFormatting>
  <hyperlinks>
    <hyperlink ref="C53" r:id="rId1" display="https://www.irena.org/-/media/Files/IRENA/Agency/Events/2017/Mar/15/2017_Kairies_Battery_Cost_and_Performance_01.pdf"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6"/>
  <sheetViews>
    <sheetView zoomScale="90" zoomScaleNormal="90" workbookViewId="0">
      <pane xSplit="1" ySplit="2" topLeftCell="B3" activePane="bottomRight" state="frozen"/>
      <selection pane="topRight" activeCell="B1" sqref="B1"/>
      <selection pane="bottomLeft" activeCell="A3" sqref="A3"/>
      <selection pane="bottomRight" activeCell="F9" sqref="F9"/>
    </sheetView>
  </sheetViews>
  <sheetFormatPr baseColWidth="10" defaultColWidth="11.42578125" defaultRowHeight="18" x14ac:dyDescent="0.35"/>
  <cols>
    <col min="1" max="1" width="67.28515625" style="20" customWidth="1"/>
    <col min="2" max="2" width="8" style="21" customWidth="1"/>
    <col min="3" max="4" width="9.85546875" style="21" customWidth="1"/>
    <col min="5" max="5" width="10.140625" style="21" customWidth="1"/>
    <col min="6" max="6" width="9.85546875" style="21" customWidth="1"/>
    <col min="7" max="7" width="13.5703125" style="21" customWidth="1"/>
    <col min="8" max="8" width="9.85546875" style="21" customWidth="1"/>
    <col min="9" max="9" width="13.5703125" style="21" customWidth="1"/>
    <col min="10" max="10" width="12.5703125" style="21" customWidth="1"/>
    <col min="11" max="11" width="64.5703125" style="45" customWidth="1"/>
    <col min="12" max="14" width="9.28515625" style="5" customWidth="1"/>
    <col min="15" max="15" width="26.5703125" style="5" customWidth="1"/>
    <col min="16" max="16" width="9.85546875" style="21" customWidth="1"/>
    <col min="17" max="16384" width="11.42578125" style="21"/>
  </cols>
  <sheetData>
    <row r="1" spans="1:16" ht="108" x14ac:dyDescent="0.35">
      <c r="G1" s="22" t="s">
        <v>63</v>
      </c>
      <c r="I1" s="22" t="s">
        <v>64</v>
      </c>
      <c r="K1" s="84" t="s">
        <v>126</v>
      </c>
      <c r="L1" s="68" t="s">
        <v>153</v>
      </c>
      <c r="M1" s="68"/>
      <c r="N1" s="68"/>
      <c r="O1" s="68" t="s">
        <v>127</v>
      </c>
      <c r="P1" s="23"/>
    </row>
    <row r="2" spans="1:16" ht="36" x14ac:dyDescent="0.35">
      <c r="A2" s="24" t="s">
        <v>65</v>
      </c>
      <c r="B2" s="22" t="s">
        <v>97</v>
      </c>
      <c r="C2" s="22">
        <v>2016</v>
      </c>
      <c r="D2" s="22">
        <v>2020</v>
      </c>
      <c r="E2" s="22">
        <v>2025</v>
      </c>
      <c r="F2" s="22">
        <v>2030</v>
      </c>
      <c r="G2" s="25" t="s">
        <v>66</v>
      </c>
      <c r="H2" s="22">
        <v>2050</v>
      </c>
      <c r="I2" s="25" t="s">
        <v>67</v>
      </c>
      <c r="J2" s="22" t="s">
        <v>68</v>
      </c>
      <c r="K2" s="84"/>
      <c r="L2" s="26">
        <v>2020</v>
      </c>
      <c r="M2" s="26">
        <v>2030</v>
      </c>
      <c r="N2" s="27">
        <v>2050</v>
      </c>
      <c r="O2" s="68"/>
      <c r="P2" s="28" t="s">
        <v>78</v>
      </c>
    </row>
    <row r="3" spans="1:16" ht="16.149999999999999" customHeight="1" x14ac:dyDescent="0.35">
      <c r="A3" s="24" t="s">
        <v>134</v>
      </c>
      <c r="B3" s="26" t="s">
        <v>98</v>
      </c>
      <c r="C3" s="8">
        <v>30</v>
      </c>
      <c r="D3" s="8">
        <f>C3</f>
        <v>30</v>
      </c>
      <c r="E3" s="8"/>
      <c r="F3" s="8">
        <f>D3</f>
        <v>30</v>
      </c>
      <c r="G3" s="29"/>
      <c r="H3" s="8">
        <f>F3</f>
        <v>30</v>
      </c>
      <c r="I3" s="29"/>
      <c r="J3" s="75" t="s">
        <v>13</v>
      </c>
      <c r="K3" s="75" t="s">
        <v>177</v>
      </c>
      <c r="L3" s="30"/>
      <c r="M3" s="31"/>
      <c r="N3" s="31"/>
      <c r="O3" s="83" t="s">
        <v>128</v>
      </c>
    </row>
    <row r="4" spans="1:16" ht="16.149999999999999" customHeight="1" x14ac:dyDescent="0.35">
      <c r="A4" s="24" t="s">
        <v>135</v>
      </c>
      <c r="B4" s="26" t="s">
        <v>99</v>
      </c>
      <c r="C4" s="8">
        <v>15</v>
      </c>
      <c r="D4" s="8">
        <f t="shared" ref="D4:D5" si="0">C4</f>
        <v>15</v>
      </c>
      <c r="E4" s="8"/>
      <c r="F4" s="8">
        <f t="shared" ref="F4:F5" si="1">D4</f>
        <v>15</v>
      </c>
      <c r="G4" s="29"/>
      <c r="H4" s="8">
        <f t="shared" ref="H4:H5" si="2">F4</f>
        <v>15</v>
      </c>
      <c r="I4" s="29"/>
      <c r="J4" s="75"/>
      <c r="K4" s="75"/>
      <c r="L4" s="30"/>
      <c r="M4" s="31"/>
      <c r="N4" s="31"/>
      <c r="O4" s="83"/>
      <c r="P4" s="32">
        <f>D4/D3</f>
        <v>0.5</v>
      </c>
    </row>
    <row r="5" spans="1:16" ht="16.149999999999999" customHeight="1" x14ac:dyDescent="0.35">
      <c r="A5" s="24" t="s">
        <v>136</v>
      </c>
      <c r="B5" s="26" t="s">
        <v>100</v>
      </c>
      <c r="C5" s="8">
        <v>15</v>
      </c>
      <c r="D5" s="8">
        <f t="shared" si="0"/>
        <v>15</v>
      </c>
      <c r="E5" s="8"/>
      <c r="F5" s="8">
        <f t="shared" si="1"/>
        <v>15</v>
      </c>
      <c r="G5" s="29"/>
      <c r="H5" s="8">
        <f t="shared" si="2"/>
        <v>15</v>
      </c>
      <c r="I5" s="29"/>
      <c r="J5" s="75"/>
      <c r="K5" s="75"/>
      <c r="L5" s="30"/>
      <c r="M5" s="31"/>
      <c r="N5" s="31"/>
      <c r="O5" s="83"/>
      <c r="P5" s="32">
        <f>D5/D3</f>
        <v>0.5</v>
      </c>
    </row>
    <row r="6" spans="1:16" ht="75" x14ac:dyDescent="0.35">
      <c r="A6" s="24" t="s">
        <v>137</v>
      </c>
      <c r="B6" s="26" t="s">
        <v>101</v>
      </c>
      <c r="C6" s="8"/>
      <c r="D6" s="8">
        <v>83</v>
      </c>
      <c r="E6" s="8"/>
      <c r="F6" s="8">
        <v>85</v>
      </c>
      <c r="G6" s="33">
        <f>(F6-D6)/D6</f>
        <v>2.4096385542168676E-2</v>
      </c>
      <c r="H6" s="34">
        <v>85</v>
      </c>
      <c r="I6" s="29">
        <f>(H6-F6)/F6</f>
        <v>0</v>
      </c>
      <c r="J6" s="8" t="s">
        <v>20</v>
      </c>
      <c r="K6" s="8" t="s">
        <v>175</v>
      </c>
      <c r="L6" s="34">
        <v>81.400000000000006</v>
      </c>
      <c r="M6" s="35">
        <f>L6*(1+G6)</f>
        <v>83.361445783132538</v>
      </c>
      <c r="N6" s="35">
        <f>M6*(1+I6)</f>
        <v>83.361445783132538</v>
      </c>
      <c r="O6" s="83"/>
    </row>
    <row r="7" spans="1:16" x14ac:dyDescent="0.35">
      <c r="A7" s="24" t="s">
        <v>138</v>
      </c>
      <c r="B7" s="26" t="s">
        <v>102</v>
      </c>
      <c r="C7" s="8"/>
      <c r="D7" s="34">
        <f>POWER(L6/100,0.5)*100</f>
        <v>90.221948549119688</v>
      </c>
      <c r="E7" s="8"/>
      <c r="F7" s="34">
        <f>POWER(M6/100,0.5)*100</f>
        <v>91.302489442036872</v>
      </c>
      <c r="G7" s="8"/>
      <c r="H7" s="34">
        <f>POWER(N6/100,0.5)*100</f>
        <v>91.302489442036872</v>
      </c>
      <c r="I7" s="8"/>
      <c r="K7" s="82" t="s">
        <v>176</v>
      </c>
      <c r="L7" s="36"/>
      <c r="M7" s="36"/>
      <c r="N7" s="36"/>
      <c r="O7" s="36"/>
    </row>
    <row r="8" spans="1:16" x14ac:dyDescent="0.35">
      <c r="A8" s="24" t="s">
        <v>139</v>
      </c>
      <c r="B8" s="26" t="s">
        <v>103</v>
      </c>
      <c r="C8" s="8"/>
      <c r="D8" s="34">
        <f>POWER(L6/100,0.5)*100</f>
        <v>90.221948549119688</v>
      </c>
      <c r="E8" s="8"/>
      <c r="F8" s="34">
        <f>POWER(M6/100,0.5)*100</f>
        <v>91.302489442036872</v>
      </c>
      <c r="G8" s="8"/>
      <c r="H8" s="34">
        <f>POWER(N6/100,0.5)*100</f>
        <v>91.302489442036872</v>
      </c>
      <c r="I8" s="37"/>
      <c r="J8" s="8"/>
      <c r="K8" s="82"/>
      <c r="L8" s="36"/>
      <c r="M8" s="36"/>
      <c r="N8" s="36"/>
      <c r="O8" s="36"/>
    </row>
    <row r="9" spans="1:16" ht="75" x14ac:dyDescent="0.35">
      <c r="A9" s="24" t="s">
        <v>140</v>
      </c>
      <c r="B9" s="26" t="s">
        <v>104</v>
      </c>
      <c r="C9" s="8">
        <v>0.1</v>
      </c>
      <c r="D9" s="8">
        <v>0.1</v>
      </c>
      <c r="E9" s="8">
        <v>0.1</v>
      </c>
      <c r="F9" s="8">
        <v>0.1</v>
      </c>
      <c r="G9" s="8"/>
      <c r="H9" s="30">
        <v>0.1</v>
      </c>
      <c r="I9" s="30"/>
      <c r="J9" s="8" t="s">
        <v>13</v>
      </c>
      <c r="K9" s="8" t="s">
        <v>178</v>
      </c>
      <c r="L9" s="8"/>
      <c r="M9" s="8"/>
    </row>
    <row r="10" spans="1:16" ht="15" customHeight="1" x14ac:dyDescent="0.35">
      <c r="A10" s="24" t="s">
        <v>141</v>
      </c>
      <c r="B10" s="26" t="s">
        <v>105</v>
      </c>
      <c r="C10" s="8"/>
      <c r="D10" s="30">
        <v>0</v>
      </c>
      <c r="E10" s="30"/>
      <c r="F10" s="30">
        <v>0</v>
      </c>
      <c r="G10" s="30"/>
      <c r="H10" s="30">
        <v>0</v>
      </c>
      <c r="I10" s="34"/>
      <c r="J10" s="75" t="s">
        <v>20</v>
      </c>
      <c r="K10" s="75" t="s">
        <v>179</v>
      </c>
      <c r="L10" s="8"/>
      <c r="M10" s="8"/>
    </row>
    <row r="11" spans="1:16" x14ac:dyDescent="0.35">
      <c r="A11" s="24" t="s">
        <v>142</v>
      </c>
      <c r="B11" s="26" t="s">
        <v>106</v>
      </c>
      <c r="C11" s="8"/>
      <c r="D11" s="30">
        <v>0</v>
      </c>
      <c r="E11" s="30"/>
      <c r="F11" s="30">
        <v>0</v>
      </c>
      <c r="G11" s="30"/>
      <c r="H11" s="30">
        <v>0</v>
      </c>
      <c r="I11" s="37"/>
      <c r="J11" s="75"/>
      <c r="K11" s="75"/>
      <c r="L11" s="8"/>
      <c r="M11" s="8"/>
    </row>
    <row r="12" spans="1:16" ht="105" x14ac:dyDescent="0.35">
      <c r="A12" s="24" t="s">
        <v>143</v>
      </c>
      <c r="B12" s="26" t="s">
        <v>107</v>
      </c>
      <c r="C12" s="8"/>
      <c r="D12" s="8">
        <v>19</v>
      </c>
      <c r="E12" s="8"/>
      <c r="F12" s="34">
        <v>24</v>
      </c>
      <c r="G12" s="33">
        <f>(F12-D12)/D12</f>
        <v>0.26315789473684209</v>
      </c>
      <c r="H12" s="34">
        <v>24</v>
      </c>
      <c r="I12" s="33">
        <f>(H12-F12)/F12</f>
        <v>0</v>
      </c>
      <c r="J12" s="75" t="s">
        <v>20</v>
      </c>
      <c r="K12" s="8" t="s">
        <v>180</v>
      </c>
      <c r="L12" s="8">
        <v>19</v>
      </c>
      <c r="M12" s="31">
        <f>L12*(1+G12)</f>
        <v>24</v>
      </c>
      <c r="N12" s="31">
        <f>M12*(1+I12)</f>
        <v>24</v>
      </c>
      <c r="O12" s="30" t="s">
        <v>128</v>
      </c>
    </row>
    <row r="13" spans="1:16" x14ac:dyDescent="0.35">
      <c r="A13" s="24" t="s">
        <v>144</v>
      </c>
      <c r="B13" s="26" t="s">
        <v>108</v>
      </c>
      <c r="C13" s="8"/>
      <c r="D13" s="8">
        <v>0.5</v>
      </c>
      <c r="E13" s="8"/>
      <c r="F13" s="8">
        <v>0.5</v>
      </c>
      <c r="G13" s="8"/>
      <c r="H13" s="30">
        <v>0.5</v>
      </c>
      <c r="I13" s="34"/>
      <c r="J13" s="75"/>
      <c r="K13" s="82" t="s">
        <v>179</v>
      </c>
      <c r="L13" s="8"/>
      <c r="M13" s="8"/>
    </row>
    <row r="14" spans="1:16" x14ac:dyDescent="0.35">
      <c r="A14" s="24" t="s">
        <v>145</v>
      </c>
      <c r="B14" s="26" t="s">
        <v>109</v>
      </c>
      <c r="C14" s="8"/>
      <c r="D14" s="8">
        <v>1E-3</v>
      </c>
      <c r="E14" s="8"/>
      <c r="F14" s="8">
        <v>1E-3</v>
      </c>
      <c r="G14" s="8"/>
      <c r="H14" s="8">
        <v>1E-3</v>
      </c>
      <c r="I14" s="38"/>
      <c r="J14" s="75"/>
      <c r="K14" s="82"/>
      <c r="L14" s="8"/>
      <c r="M14" s="8"/>
    </row>
    <row r="15" spans="1:16" ht="30" x14ac:dyDescent="0.35">
      <c r="A15" s="24" t="s">
        <v>146</v>
      </c>
      <c r="B15" s="26" t="s">
        <v>110</v>
      </c>
      <c r="C15" s="8"/>
      <c r="D15" s="8">
        <v>0.05</v>
      </c>
      <c r="E15" s="8"/>
      <c r="F15" s="8">
        <v>0.05</v>
      </c>
      <c r="G15" s="8"/>
      <c r="H15" s="8">
        <v>0.05</v>
      </c>
      <c r="I15" s="38"/>
      <c r="J15" s="75"/>
      <c r="K15" s="82"/>
      <c r="L15" s="8"/>
      <c r="M15" s="8"/>
    </row>
    <row r="16" spans="1:16" ht="60" x14ac:dyDescent="0.35">
      <c r="A16" s="24" t="s">
        <v>147</v>
      </c>
      <c r="B16" s="26" t="s">
        <v>111</v>
      </c>
      <c r="C16" s="8"/>
      <c r="D16" s="38">
        <f>((D17+D19)*D3+D18*D4)/D3</f>
        <v>0.38330000000000003</v>
      </c>
      <c r="E16" s="8"/>
      <c r="F16" s="38">
        <f>((F17+F19)*F3+F18*F4)/F3</f>
        <v>0.21725</v>
      </c>
      <c r="G16" s="33"/>
      <c r="H16" s="38">
        <f>((H17+H19)*H3+H18*H4)/H3</f>
        <v>8.9125528619242958E-2</v>
      </c>
      <c r="I16" s="33"/>
      <c r="J16" s="17"/>
      <c r="K16" s="8" t="s">
        <v>181</v>
      </c>
      <c r="L16" s="8"/>
      <c r="M16" s="31"/>
      <c r="N16" s="31"/>
      <c r="O16" s="31"/>
    </row>
    <row r="17" spans="1:16" ht="16.149999999999999" customHeight="1" x14ac:dyDescent="0.35">
      <c r="A17" s="24" t="s">
        <v>148</v>
      </c>
      <c r="B17" s="26" t="s">
        <v>112</v>
      </c>
      <c r="C17" s="8">
        <v>0.36749999999999999</v>
      </c>
      <c r="D17" s="8">
        <v>0.2908</v>
      </c>
      <c r="E17" s="8">
        <v>0.217</v>
      </c>
      <c r="F17" s="8">
        <v>0.16200000000000001</v>
      </c>
      <c r="G17" s="33"/>
      <c r="H17" s="38">
        <f>6.2425550675907E+50*EXP(-0.058513*H2)</f>
        <v>5.0236883762580883E-2</v>
      </c>
      <c r="I17" s="33"/>
      <c r="J17" s="75" t="s">
        <v>13</v>
      </c>
      <c r="K17" s="85" t="s">
        <v>154</v>
      </c>
      <c r="L17" s="8"/>
      <c r="M17" s="39"/>
      <c r="N17" s="39"/>
      <c r="O17" s="39"/>
    </row>
    <row r="18" spans="1:16" ht="16.149999999999999" customHeight="1" x14ac:dyDescent="0.35">
      <c r="A18" s="24" t="s">
        <v>149</v>
      </c>
      <c r="B18" s="26" t="s">
        <v>113</v>
      </c>
      <c r="C18" s="8">
        <v>0.105</v>
      </c>
      <c r="D18" s="38">
        <f>NaS!C25</f>
        <v>8.5000000000000006E-2</v>
      </c>
      <c r="E18" s="8">
        <v>6.5600000000000006E-2</v>
      </c>
      <c r="F18" s="38">
        <f>NaS!D25</f>
        <v>5.0500000000000003E-2</v>
      </c>
      <c r="G18" s="33"/>
      <c r="H18" s="38">
        <f>5.5944353330417E+44*EXP(-0.052227*H2)</f>
        <v>1.7777289713324144E-2</v>
      </c>
      <c r="I18" s="33"/>
      <c r="J18" s="75"/>
      <c r="K18" s="85"/>
      <c r="L18" s="8"/>
      <c r="M18" s="39"/>
      <c r="N18" s="39"/>
      <c r="O18" s="39"/>
    </row>
    <row r="19" spans="1:16" ht="105" x14ac:dyDescent="0.35">
      <c r="A19" s="24" t="s">
        <v>150</v>
      </c>
      <c r="B19" s="26" t="s">
        <v>114</v>
      </c>
      <c r="C19" s="8"/>
      <c r="D19" s="8">
        <v>0.05</v>
      </c>
      <c r="E19" s="8"/>
      <c r="F19" s="38">
        <v>0.03</v>
      </c>
      <c r="G19" s="40">
        <f>(F19-D19)/D19</f>
        <v>-0.40000000000000008</v>
      </c>
      <c r="H19" s="38">
        <v>0.03</v>
      </c>
      <c r="I19" s="40">
        <f t="shared" ref="I19:I21" si="3">(H19-F19)/F19</f>
        <v>0</v>
      </c>
      <c r="J19" s="75" t="s">
        <v>20</v>
      </c>
      <c r="K19" s="8" t="s">
        <v>179</v>
      </c>
      <c r="L19" s="8">
        <v>0.05</v>
      </c>
      <c r="M19" s="41">
        <f>L19*(1+G19)</f>
        <v>2.9999999999999995E-2</v>
      </c>
      <c r="N19" s="41">
        <f>M19*(1+I19)</f>
        <v>2.9999999999999995E-2</v>
      </c>
      <c r="O19" s="37" t="s">
        <v>128</v>
      </c>
    </row>
    <row r="20" spans="1:16" ht="16.149999999999999" customHeight="1" x14ac:dyDescent="0.35">
      <c r="A20" s="24" t="s">
        <v>151</v>
      </c>
      <c r="B20" s="26" t="s">
        <v>115</v>
      </c>
      <c r="C20" s="8"/>
      <c r="D20" s="8">
        <v>1.67</v>
      </c>
      <c r="E20" s="8"/>
      <c r="F20" s="8">
        <v>1.67</v>
      </c>
      <c r="G20" s="40">
        <f>(F20-D20)/D20</f>
        <v>0</v>
      </c>
      <c r="H20" s="37">
        <v>1.67</v>
      </c>
      <c r="I20" s="40">
        <f t="shared" si="3"/>
        <v>0</v>
      </c>
      <c r="J20" s="75"/>
      <c r="K20" s="75" t="s">
        <v>182</v>
      </c>
      <c r="L20" s="8">
        <v>4</v>
      </c>
      <c r="M20" s="41">
        <f>L20*(1+G20)</f>
        <v>4</v>
      </c>
      <c r="N20" s="41">
        <f>M20*(1+I20)</f>
        <v>4</v>
      </c>
      <c r="O20" s="39"/>
    </row>
    <row r="21" spans="1:16" ht="16.149999999999999" customHeight="1" x14ac:dyDescent="0.35">
      <c r="A21" s="24" t="s">
        <v>152</v>
      </c>
      <c r="B21" s="26" t="s">
        <v>116</v>
      </c>
      <c r="C21" s="36"/>
      <c r="D21" s="37">
        <v>2</v>
      </c>
      <c r="E21" s="36"/>
      <c r="F21" s="37">
        <v>2</v>
      </c>
      <c r="G21" s="40">
        <f>(F21-D21)/D21</f>
        <v>0</v>
      </c>
      <c r="H21" s="37">
        <v>2</v>
      </c>
      <c r="I21" s="40">
        <f t="shared" si="3"/>
        <v>0</v>
      </c>
      <c r="J21" s="75"/>
      <c r="K21" s="75"/>
      <c r="L21" s="8">
        <v>2</v>
      </c>
      <c r="M21" s="41">
        <f>L21*(1+G21)</f>
        <v>2</v>
      </c>
      <c r="N21" s="41">
        <f>M21*(1+I21)</f>
        <v>2</v>
      </c>
      <c r="O21" s="39"/>
    </row>
    <row r="22" spans="1:16" ht="60" x14ac:dyDescent="0.35">
      <c r="A22" s="24" t="s">
        <v>131</v>
      </c>
      <c r="B22" s="26" t="s">
        <v>117</v>
      </c>
      <c r="C22" s="8"/>
      <c r="D22" s="38">
        <f>((D17+D19)*D3+D18*D4)/D4</f>
        <v>0.76660000000000006</v>
      </c>
      <c r="E22" s="8"/>
      <c r="F22" s="38">
        <f>((F17+F19)*F3+F18*F4)/F4</f>
        <v>0.4345</v>
      </c>
      <c r="G22" s="8"/>
      <c r="H22" s="38">
        <f>((H17+H19)*H3+H18*H4)/H4</f>
        <v>0.17825105723848592</v>
      </c>
      <c r="I22" s="37"/>
      <c r="J22" s="8" t="s">
        <v>13</v>
      </c>
      <c r="K22" s="8" t="s">
        <v>183</v>
      </c>
      <c r="L22" s="8"/>
      <c r="M22" s="8"/>
    </row>
    <row r="23" spans="1:16" ht="30" x14ac:dyDescent="0.35">
      <c r="A23" s="24" t="s">
        <v>69</v>
      </c>
      <c r="B23" s="26" t="s">
        <v>118</v>
      </c>
      <c r="C23" s="8"/>
      <c r="D23" s="8">
        <v>5600</v>
      </c>
      <c r="E23" s="8"/>
      <c r="F23" s="8">
        <v>7500</v>
      </c>
      <c r="G23" s="33"/>
      <c r="H23" s="37">
        <v>7500</v>
      </c>
      <c r="I23" s="33"/>
      <c r="J23" s="75" t="s">
        <v>20</v>
      </c>
      <c r="K23" s="8" t="s">
        <v>179</v>
      </c>
      <c r="L23" s="8"/>
      <c r="M23" s="35"/>
      <c r="N23" s="35"/>
      <c r="O23" s="38"/>
      <c r="P23" s="42"/>
    </row>
    <row r="24" spans="1:16" ht="40.5" x14ac:dyDescent="0.35">
      <c r="A24" s="24" t="s">
        <v>132</v>
      </c>
      <c r="B24" s="26" t="s">
        <v>119</v>
      </c>
      <c r="C24" s="8"/>
      <c r="D24" s="8">
        <f>D26/(D3/D4)</f>
        <v>28</v>
      </c>
      <c r="E24" s="8"/>
      <c r="F24" s="8">
        <f>F26/(F3/F4)</f>
        <v>28</v>
      </c>
      <c r="G24" s="33"/>
      <c r="H24" s="8">
        <f>H26/(H3/H4)</f>
        <v>28</v>
      </c>
      <c r="I24" s="33"/>
      <c r="J24" s="75"/>
      <c r="K24" s="43" t="s">
        <v>184</v>
      </c>
      <c r="L24" s="8"/>
      <c r="M24" s="39"/>
      <c r="N24" s="39"/>
      <c r="O24" s="39"/>
    </row>
    <row r="25" spans="1:16" ht="40.5" x14ac:dyDescent="0.35">
      <c r="A25" s="24" t="s">
        <v>133</v>
      </c>
      <c r="B25" s="26" t="s">
        <v>120</v>
      </c>
      <c r="C25" s="8"/>
      <c r="D25" s="8">
        <f>D27/(D3/D4)</f>
        <v>13000</v>
      </c>
      <c r="E25" s="8"/>
      <c r="F25" s="8">
        <f>F27/(F3/F4)</f>
        <v>13000</v>
      </c>
      <c r="G25" s="33"/>
      <c r="H25" s="8">
        <f>H27/(H3/H4)</f>
        <v>13000</v>
      </c>
      <c r="I25" s="33"/>
      <c r="J25" s="75"/>
      <c r="K25" s="43" t="s">
        <v>185</v>
      </c>
      <c r="L25" s="8"/>
      <c r="M25" s="39"/>
      <c r="N25" s="39"/>
      <c r="O25" s="39"/>
    </row>
    <row r="26" spans="1:16" x14ac:dyDescent="0.35">
      <c r="A26" s="24" t="s">
        <v>70</v>
      </c>
      <c r="B26" s="26" t="s">
        <v>121</v>
      </c>
      <c r="C26" s="8"/>
      <c r="D26" s="8">
        <v>56</v>
      </c>
      <c r="E26" s="8"/>
      <c r="F26" s="8">
        <v>56</v>
      </c>
      <c r="G26" s="33"/>
      <c r="H26" s="8">
        <v>56</v>
      </c>
      <c r="I26" s="33"/>
      <c r="J26" s="75"/>
      <c r="K26" s="75" t="s">
        <v>179</v>
      </c>
      <c r="L26" s="8"/>
      <c r="M26" s="39"/>
      <c r="N26" s="39"/>
      <c r="O26" s="39"/>
    </row>
    <row r="27" spans="1:16" x14ac:dyDescent="0.35">
      <c r="A27" s="24" t="s">
        <v>71</v>
      </c>
      <c r="B27" s="26" t="s">
        <v>122</v>
      </c>
      <c r="C27" s="5"/>
      <c r="D27" s="8">
        <v>26000</v>
      </c>
      <c r="E27" s="5"/>
      <c r="F27" s="8">
        <v>26000</v>
      </c>
      <c r="G27" s="33"/>
      <c r="H27" s="8">
        <v>26000</v>
      </c>
      <c r="I27" s="33"/>
      <c r="J27" s="75"/>
      <c r="K27" s="75"/>
      <c r="L27" s="8"/>
      <c r="M27" s="39"/>
      <c r="N27" s="39"/>
      <c r="O27" s="39"/>
    </row>
    <row r="30" spans="1:16" s="5" customFormat="1" ht="15" x14ac:dyDescent="0.3">
      <c r="A30" s="16" t="s">
        <v>13</v>
      </c>
      <c r="B30" s="1" t="s">
        <v>56</v>
      </c>
      <c r="K30" s="44"/>
    </row>
    <row r="31" spans="1:16" s="5" customFormat="1" ht="15" x14ac:dyDescent="0.3">
      <c r="A31" s="16" t="s">
        <v>20</v>
      </c>
      <c r="B31" s="7" t="s">
        <v>57</v>
      </c>
      <c r="K31" s="44"/>
    </row>
    <row r="32" spans="1:16" s="5" customFormat="1" ht="15" x14ac:dyDescent="0.3">
      <c r="A32" s="16" t="s">
        <v>58</v>
      </c>
      <c r="B32" s="7" t="s">
        <v>59</v>
      </c>
      <c r="K32" s="44"/>
    </row>
    <row r="33" spans="1:11" s="5" customFormat="1" ht="15" x14ac:dyDescent="0.3">
      <c r="A33" s="16" t="s">
        <v>60</v>
      </c>
      <c r="B33" s="5" t="s">
        <v>61</v>
      </c>
      <c r="K33" s="44"/>
    </row>
    <row r="34" spans="1:11" s="5" customFormat="1" ht="15" x14ac:dyDescent="0.3">
      <c r="A34" s="16" t="s">
        <v>62</v>
      </c>
      <c r="B34" s="5" t="s">
        <v>129</v>
      </c>
      <c r="K34" s="44"/>
    </row>
    <row r="35" spans="1:11" s="5" customFormat="1" ht="15" x14ac:dyDescent="0.3">
      <c r="A35" s="16" t="s">
        <v>74</v>
      </c>
      <c r="B35" s="5" t="s">
        <v>88</v>
      </c>
      <c r="K35" s="44"/>
    </row>
    <row r="36" spans="1:11" s="5" customFormat="1" ht="15" x14ac:dyDescent="0.3">
      <c r="A36" s="16" t="s">
        <v>76</v>
      </c>
      <c r="B36" s="15" t="s">
        <v>130</v>
      </c>
      <c r="K36" s="44"/>
    </row>
  </sheetData>
  <mergeCells count="17">
    <mergeCell ref="J23:J27"/>
    <mergeCell ref="J17:J18"/>
    <mergeCell ref="J19:J21"/>
    <mergeCell ref="K17:K18"/>
    <mergeCell ref="K20:K21"/>
    <mergeCell ref="K26:K27"/>
    <mergeCell ref="J3:J5"/>
    <mergeCell ref="K7:K8"/>
    <mergeCell ref="J12:J15"/>
    <mergeCell ref="O3:O6"/>
    <mergeCell ref="O1:O2"/>
    <mergeCell ref="L1:N1"/>
    <mergeCell ref="K1:K2"/>
    <mergeCell ref="K3:K5"/>
    <mergeCell ref="J10:J11"/>
    <mergeCell ref="K10:K11"/>
    <mergeCell ref="K13:K15"/>
  </mergeCells>
  <conditionalFormatting sqref="B34">
    <cfRule type="duplicateValues" dxfId="1" priority="2"/>
  </conditionalFormatting>
  <conditionalFormatting sqref="B35">
    <cfRule type="duplicateValues" dxfId="0" priority="1"/>
  </conditionalFormatting>
  <hyperlinks>
    <hyperlink ref="B33" r:id="rId1" display="https://www.irena.org/-/media/Files/IRENA/Agency/Events/2017/Mar/15/2017_Kairies_Battery_Cost_and_Performance_01.pdf"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workbookViewId="0">
      <selection activeCell="M17" sqref="M17"/>
    </sheetView>
  </sheetViews>
  <sheetFormatPr baseColWidth="10" defaultColWidth="11.42578125" defaultRowHeight="18" x14ac:dyDescent="0.25"/>
  <cols>
    <col min="1" max="1" width="67.42578125" style="42" customWidth="1"/>
    <col min="2" max="8" width="9.85546875" style="42" customWidth="1"/>
    <col min="9" max="9" width="16.42578125" style="42" customWidth="1"/>
    <col min="10" max="10" width="9.85546875" style="42" customWidth="1"/>
    <col min="11" max="16" width="9.5703125" style="42" customWidth="1"/>
    <col min="17" max="17" width="10.42578125" style="42" hidden="1" customWidth="1"/>
    <col min="18" max="19" width="10.85546875" style="42" hidden="1" customWidth="1"/>
    <col min="20" max="20" width="9.5703125" style="42" hidden="1" customWidth="1"/>
    <col min="21" max="21" width="11.85546875" style="42" hidden="1" customWidth="1"/>
    <col min="22" max="22" width="11.42578125" style="42" hidden="1" customWidth="1"/>
    <col min="23" max="23" width="9.5703125" style="42" hidden="1" customWidth="1"/>
    <col min="24" max="24" width="11.28515625" style="42" hidden="1" customWidth="1"/>
    <col min="25" max="25" width="11.85546875" style="42" hidden="1" customWidth="1"/>
    <col min="26" max="26" width="35.42578125" style="42" customWidth="1"/>
    <col min="27" max="27" width="10.140625" style="42" customWidth="1"/>
    <col min="28" max="16384" width="11.42578125" style="42"/>
  </cols>
  <sheetData>
    <row r="1" spans="1:27" s="25" customFormat="1" ht="30" x14ac:dyDescent="0.25">
      <c r="A1" s="2"/>
      <c r="B1" s="2"/>
      <c r="C1" s="2"/>
      <c r="D1" s="2"/>
      <c r="E1" s="86" t="s">
        <v>79</v>
      </c>
      <c r="F1" s="86"/>
      <c r="G1" s="86" t="s">
        <v>80</v>
      </c>
      <c r="H1" s="86"/>
      <c r="I1" s="2"/>
      <c r="J1" s="86" t="s">
        <v>81</v>
      </c>
      <c r="K1" s="86"/>
      <c r="L1" s="86" t="s">
        <v>82</v>
      </c>
      <c r="M1" s="86"/>
      <c r="N1" s="86" t="s">
        <v>83</v>
      </c>
      <c r="O1" s="86"/>
      <c r="P1" s="2"/>
      <c r="Q1" s="6" t="s">
        <v>84</v>
      </c>
      <c r="R1" s="6" t="s">
        <v>85</v>
      </c>
      <c r="S1" s="6" t="s">
        <v>86</v>
      </c>
      <c r="T1" s="2"/>
      <c r="U1" s="2"/>
      <c r="V1" s="2"/>
      <c r="W1" s="2"/>
      <c r="X1" s="2"/>
      <c r="Y1" s="2"/>
      <c r="Z1" s="6" t="s">
        <v>123</v>
      </c>
    </row>
    <row r="2" spans="1:27" ht="30" customHeight="1" x14ac:dyDescent="0.25">
      <c r="A2" s="3" t="s">
        <v>65</v>
      </c>
      <c r="B2" s="6">
        <v>2020</v>
      </c>
      <c r="C2" s="6">
        <v>2030</v>
      </c>
      <c r="D2" s="6">
        <v>2050</v>
      </c>
      <c r="E2" s="2" t="s">
        <v>6</v>
      </c>
      <c r="F2" s="48" t="s">
        <v>7</v>
      </c>
      <c r="G2" s="48" t="s">
        <v>6</v>
      </c>
      <c r="H2" s="48" t="s">
        <v>7</v>
      </c>
      <c r="I2" s="2" t="s">
        <v>68</v>
      </c>
      <c r="J2" s="48" t="s">
        <v>6</v>
      </c>
      <c r="K2" s="48" t="s">
        <v>7</v>
      </c>
      <c r="L2" s="48" t="s">
        <v>6</v>
      </c>
      <c r="M2" s="48" t="s">
        <v>7</v>
      </c>
      <c r="N2" s="48" t="s">
        <v>6</v>
      </c>
      <c r="O2" s="48" t="s">
        <v>7</v>
      </c>
      <c r="P2" s="48"/>
      <c r="Q2" s="49">
        <v>2020</v>
      </c>
      <c r="R2" s="50">
        <f>J3</f>
        <v>-0.14457831325301204</v>
      </c>
      <c r="S2" s="50">
        <f>K3</f>
        <v>0.10843373493975904</v>
      </c>
      <c r="T2" s="49" t="s">
        <v>84</v>
      </c>
      <c r="U2" s="49" t="s">
        <v>85</v>
      </c>
      <c r="V2" s="49" t="s">
        <v>86</v>
      </c>
      <c r="W2" s="48"/>
      <c r="X2" s="48"/>
      <c r="Y2" s="48"/>
      <c r="Z2" s="87" t="s">
        <v>187</v>
      </c>
      <c r="AA2" s="25"/>
    </row>
    <row r="3" spans="1:27" x14ac:dyDescent="0.25">
      <c r="A3" s="3" t="s">
        <v>137</v>
      </c>
      <c r="B3" s="48">
        <v>83</v>
      </c>
      <c r="C3" s="48">
        <v>85</v>
      </c>
      <c r="D3" s="48">
        <v>85</v>
      </c>
      <c r="E3" s="48">
        <v>71</v>
      </c>
      <c r="F3" s="48">
        <v>92</v>
      </c>
      <c r="G3" s="48">
        <v>74</v>
      </c>
      <c r="H3" s="48">
        <v>96</v>
      </c>
      <c r="I3" s="101" t="s">
        <v>20</v>
      </c>
      <c r="J3" s="51">
        <f>(E3-$B$3)/$B$3</f>
        <v>-0.14457831325301204</v>
      </c>
      <c r="K3" s="51">
        <f>(F3-$B$3)/$B$3</f>
        <v>0.10843373493975904</v>
      </c>
      <c r="L3" s="50">
        <f>(0.000506*C2)-1.165793</f>
        <v>-0.13861299999999988</v>
      </c>
      <c r="M3" s="50">
        <f>(0.000699*C2)-1.304087</f>
        <v>0.11488299999999985</v>
      </c>
      <c r="N3" s="51">
        <f>(G3-$D$3)/$D$3</f>
        <v>-0.12941176470588237</v>
      </c>
      <c r="O3" s="51">
        <f>(H3-$D$3)/$D$3</f>
        <v>0.12941176470588237</v>
      </c>
      <c r="P3" s="48"/>
      <c r="Q3" s="49">
        <v>2050</v>
      </c>
      <c r="R3" s="50">
        <f>N3</f>
        <v>-0.12941176470588237</v>
      </c>
      <c r="S3" s="50">
        <f>O3</f>
        <v>0.12941176470588237</v>
      </c>
      <c r="T3" s="49">
        <v>2020</v>
      </c>
      <c r="U3" s="50">
        <f>J4</f>
        <v>-0.47368421052631576</v>
      </c>
      <c r="V3" s="50">
        <f>K4</f>
        <v>0.47368421052631576</v>
      </c>
      <c r="W3" s="49" t="s">
        <v>84</v>
      </c>
      <c r="X3" s="49" t="s">
        <v>85</v>
      </c>
      <c r="Y3" s="49" t="s">
        <v>86</v>
      </c>
      <c r="Z3" s="88"/>
      <c r="AA3" s="25"/>
    </row>
    <row r="4" spans="1:27" x14ac:dyDescent="0.25">
      <c r="A4" s="3" t="s">
        <v>143</v>
      </c>
      <c r="B4" s="48">
        <v>19</v>
      </c>
      <c r="C4" s="48">
        <v>24</v>
      </c>
      <c r="D4" s="48">
        <v>24</v>
      </c>
      <c r="E4" s="48">
        <v>10</v>
      </c>
      <c r="F4" s="48">
        <v>28</v>
      </c>
      <c r="G4" s="48">
        <v>14</v>
      </c>
      <c r="H4" s="48">
        <v>36</v>
      </c>
      <c r="I4" s="101"/>
      <c r="J4" s="51">
        <f>(E4-$B$4)/$B$4</f>
        <v>-0.47368421052631576</v>
      </c>
      <c r="K4" s="51">
        <f>(F4-$B$4)/$B$4</f>
        <v>0.47368421052631576</v>
      </c>
      <c r="L4" s="50">
        <f>(0.001901*C2)-4.312865</f>
        <v>-0.45383500000000065</v>
      </c>
      <c r="M4" s="50">
        <f>(0.000877*C2)-1.298246</f>
        <v>0.48206399999999983</v>
      </c>
      <c r="N4" s="51">
        <f>(G4-$D$4)/$D$4</f>
        <v>-0.41666666666666669</v>
      </c>
      <c r="O4" s="51">
        <f>(H4-$D$4)/$D$4</f>
        <v>0.5</v>
      </c>
      <c r="P4" s="48"/>
      <c r="Q4" s="49" t="s">
        <v>84</v>
      </c>
      <c r="R4" s="49" t="s">
        <v>85</v>
      </c>
      <c r="S4" s="49" t="s">
        <v>86</v>
      </c>
      <c r="T4" s="49">
        <v>2050</v>
      </c>
      <c r="U4" s="50">
        <f>N4</f>
        <v>-0.41666666666666669</v>
      </c>
      <c r="V4" s="50">
        <f>O4</f>
        <v>0.5</v>
      </c>
      <c r="W4" s="49">
        <v>2020</v>
      </c>
      <c r="X4" s="50">
        <f>J5</f>
        <v>-0.20000000000000004</v>
      </c>
      <c r="Y4" s="50">
        <f>K5</f>
        <v>1</v>
      </c>
      <c r="Z4" s="88"/>
      <c r="AA4" s="25"/>
    </row>
    <row r="5" spans="1:27" x14ac:dyDescent="0.25">
      <c r="A5" s="3" t="s">
        <v>155</v>
      </c>
      <c r="B5" s="48">
        <v>0.05</v>
      </c>
      <c r="C5" s="48">
        <v>0.03</v>
      </c>
      <c r="D5" s="48">
        <v>0.03</v>
      </c>
      <c r="E5" s="48">
        <v>0.04</v>
      </c>
      <c r="F5" s="48">
        <v>0.1</v>
      </c>
      <c r="G5" s="48">
        <v>0.02</v>
      </c>
      <c r="H5" s="48">
        <v>0.05</v>
      </c>
      <c r="I5" s="101"/>
      <c r="J5" s="51">
        <f>(E5-$B$5)/$B$5</f>
        <v>-0.20000000000000004</v>
      </c>
      <c r="K5" s="51">
        <f>(F5-$B$5)/$B$5</f>
        <v>1</v>
      </c>
      <c r="L5" s="50">
        <f>(-0.004444*C2)+8.777778</f>
        <v>-0.2435419999999997</v>
      </c>
      <c r="M5" s="50">
        <f>(-0.011111*C2)+23.444444</f>
        <v>0.88911400000000285</v>
      </c>
      <c r="N5" s="51">
        <f>(G5-$D$5)/$D$5</f>
        <v>-0.33333333333333331</v>
      </c>
      <c r="O5" s="51">
        <f>(H5-$D$5)/$D$5</f>
        <v>0.66666666666666685</v>
      </c>
      <c r="P5" s="48"/>
      <c r="Q5" s="49">
        <v>2020</v>
      </c>
      <c r="R5" s="50">
        <f>J6</f>
        <v>-0.8035714285714286</v>
      </c>
      <c r="S5" s="50">
        <f>K6</f>
        <v>1</v>
      </c>
      <c r="T5" s="48"/>
      <c r="U5" s="48"/>
      <c r="V5" s="48"/>
      <c r="W5" s="49">
        <v>2050</v>
      </c>
      <c r="X5" s="50">
        <f>N5</f>
        <v>-0.33333333333333331</v>
      </c>
      <c r="Y5" s="50">
        <f>O5</f>
        <v>0.66666666666666685</v>
      </c>
      <c r="Z5" s="88"/>
      <c r="AA5" s="25"/>
    </row>
    <row r="6" spans="1:27" x14ac:dyDescent="0.25">
      <c r="A6" s="3" t="s">
        <v>87</v>
      </c>
      <c r="B6" s="48">
        <v>5600</v>
      </c>
      <c r="C6" s="48">
        <v>7500</v>
      </c>
      <c r="D6" s="48">
        <v>7500</v>
      </c>
      <c r="E6" s="48">
        <v>1100</v>
      </c>
      <c r="F6" s="48">
        <v>11200</v>
      </c>
      <c r="G6" s="48">
        <v>1500</v>
      </c>
      <c r="H6" s="48">
        <v>15000</v>
      </c>
      <c r="I6" s="101"/>
      <c r="J6" s="51">
        <f>(E6-$B$6)/$B$6</f>
        <v>-0.8035714285714286</v>
      </c>
      <c r="K6" s="51">
        <f>(F6-$B$6)/$B$6</f>
        <v>1</v>
      </c>
      <c r="L6" s="50">
        <f>(0.000119*C2)-1.044048</f>
        <v>-0.80247800000000002</v>
      </c>
      <c r="M6" s="50">
        <f>K6</f>
        <v>1</v>
      </c>
      <c r="N6" s="51">
        <f>(G6-$D$6)/$D$6</f>
        <v>-0.8</v>
      </c>
      <c r="O6" s="51">
        <f>(H6-$D$6)/$D$6</f>
        <v>1</v>
      </c>
      <c r="P6" s="48"/>
      <c r="Q6" s="49">
        <v>2050</v>
      </c>
      <c r="R6" s="50">
        <f>N6</f>
        <v>-0.8</v>
      </c>
      <c r="S6" s="50">
        <f>O6</f>
        <v>1</v>
      </c>
      <c r="T6" s="48"/>
      <c r="U6" s="48"/>
      <c r="V6" s="48"/>
      <c r="W6" s="48"/>
      <c r="X6" s="48"/>
      <c r="Y6" s="48"/>
      <c r="Z6" s="89"/>
      <c r="AA6" s="25"/>
    </row>
    <row r="7" spans="1:27" x14ac:dyDescent="0.25">
      <c r="A7" s="19"/>
      <c r="AA7" s="25"/>
    </row>
    <row r="8" spans="1:27" x14ac:dyDescent="0.25">
      <c r="A8" s="52"/>
      <c r="B8" s="100" t="s">
        <v>123</v>
      </c>
      <c r="C8" s="100"/>
      <c r="D8" s="100"/>
      <c r="E8" s="100"/>
      <c r="F8" s="100"/>
      <c r="G8" s="100"/>
      <c r="H8" s="100"/>
      <c r="I8" s="100"/>
      <c r="J8" s="100"/>
      <c r="K8" s="46"/>
      <c r="L8" s="46"/>
      <c r="M8" s="53"/>
      <c r="N8" s="53"/>
      <c r="O8" s="53"/>
    </row>
    <row r="9" spans="1:27" ht="16.149999999999999" customHeight="1" x14ac:dyDescent="0.25">
      <c r="A9" s="3" t="s">
        <v>156</v>
      </c>
      <c r="B9" s="99" t="s">
        <v>192</v>
      </c>
      <c r="C9" s="99"/>
      <c r="D9" s="99"/>
      <c r="E9" s="99"/>
      <c r="F9" s="99"/>
      <c r="G9" s="99"/>
      <c r="H9" s="99"/>
      <c r="I9" s="99"/>
      <c r="J9" s="99"/>
      <c r="K9" s="47"/>
      <c r="L9" s="47"/>
      <c r="M9" s="54"/>
      <c r="N9" s="54"/>
      <c r="O9" s="54"/>
    </row>
    <row r="10" spans="1:27" ht="16.149999999999999" customHeight="1" x14ac:dyDescent="0.25">
      <c r="A10" s="3" t="s">
        <v>157</v>
      </c>
      <c r="B10" s="99"/>
      <c r="C10" s="99"/>
      <c r="D10" s="99"/>
      <c r="E10" s="99"/>
      <c r="F10" s="99"/>
      <c r="G10" s="99"/>
      <c r="H10" s="99"/>
      <c r="I10" s="99"/>
      <c r="J10" s="99"/>
      <c r="K10" s="47"/>
      <c r="L10" s="47"/>
      <c r="M10" s="54"/>
      <c r="N10" s="54"/>
      <c r="O10" s="54"/>
    </row>
    <row r="11" spans="1:27" ht="16.149999999999999" customHeight="1" x14ac:dyDescent="0.25">
      <c r="A11" s="3" t="s">
        <v>158</v>
      </c>
      <c r="B11" s="99"/>
      <c r="C11" s="99"/>
      <c r="D11" s="99"/>
      <c r="E11" s="99"/>
      <c r="F11" s="99"/>
      <c r="G11" s="99"/>
      <c r="H11" s="99"/>
      <c r="I11" s="99"/>
      <c r="J11" s="99"/>
      <c r="K11" s="47"/>
      <c r="L11" s="47"/>
      <c r="M11" s="54"/>
      <c r="N11" s="54"/>
      <c r="O11" s="54"/>
    </row>
    <row r="12" spans="1:27" x14ac:dyDescent="0.25">
      <c r="A12" s="3" t="s">
        <v>159</v>
      </c>
      <c r="B12" s="93" t="s">
        <v>186</v>
      </c>
      <c r="C12" s="94"/>
      <c r="D12" s="94"/>
      <c r="E12" s="94"/>
      <c r="F12" s="94"/>
      <c r="G12" s="94"/>
      <c r="H12" s="94"/>
      <c r="I12" s="94"/>
      <c r="J12" s="95"/>
      <c r="K12" s="47"/>
      <c r="L12" s="47"/>
      <c r="M12" s="54"/>
      <c r="N12" s="54"/>
      <c r="O12" s="54"/>
    </row>
    <row r="13" spans="1:27" x14ac:dyDescent="0.25">
      <c r="A13" s="3" t="s">
        <v>160</v>
      </c>
      <c r="B13" s="102"/>
      <c r="C13" s="74"/>
      <c r="D13" s="74"/>
      <c r="E13" s="74"/>
      <c r="F13" s="74"/>
      <c r="G13" s="74"/>
      <c r="H13" s="74"/>
      <c r="I13" s="74"/>
      <c r="J13" s="82"/>
      <c r="K13" s="47"/>
      <c r="L13" s="47"/>
      <c r="M13" s="54"/>
      <c r="N13" s="54"/>
      <c r="O13" s="54"/>
    </row>
    <row r="14" spans="1:27" x14ac:dyDescent="0.25">
      <c r="A14" s="3" t="s">
        <v>161</v>
      </c>
      <c r="B14" s="102"/>
      <c r="C14" s="74"/>
      <c r="D14" s="74"/>
      <c r="E14" s="74"/>
      <c r="F14" s="74"/>
      <c r="G14" s="74"/>
      <c r="H14" s="74"/>
      <c r="I14" s="74"/>
      <c r="J14" s="82"/>
      <c r="K14" s="47"/>
      <c r="L14" s="47"/>
      <c r="M14" s="54"/>
      <c r="N14" s="54"/>
      <c r="O14" s="54"/>
    </row>
    <row r="15" spans="1:27" x14ac:dyDescent="0.25">
      <c r="A15" s="3" t="s">
        <v>162</v>
      </c>
      <c r="B15" s="102"/>
      <c r="C15" s="74"/>
      <c r="D15" s="74"/>
      <c r="E15" s="74"/>
      <c r="F15" s="74"/>
      <c r="G15" s="74"/>
      <c r="H15" s="74"/>
      <c r="I15" s="74"/>
      <c r="J15" s="82"/>
      <c r="K15" s="47"/>
      <c r="L15" s="47"/>
      <c r="M15" s="54"/>
      <c r="N15" s="54"/>
      <c r="O15" s="54"/>
    </row>
    <row r="16" spans="1:27" x14ac:dyDescent="0.25">
      <c r="A16" s="3" t="s">
        <v>163</v>
      </c>
      <c r="B16" s="102"/>
      <c r="C16" s="74"/>
      <c r="D16" s="74"/>
      <c r="E16" s="74"/>
      <c r="F16" s="74"/>
      <c r="G16" s="74"/>
      <c r="H16" s="74"/>
      <c r="I16" s="74"/>
      <c r="J16" s="82"/>
      <c r="K16" s="47"/>
      <c r="L16" s="47"/>
      <c r="M16" s="54"/>
      <c r="N16" s="54"/>
      <c r="O16" s="54"/>
    </row>
    <row r="17" spans="1:15" ht="30" x14ac:dyDescent="0.25">
      <c r="A17" s="3" t="s">
        <v>164</v>
      </c>
      <c r="B17" s="96"/>
      <c r="C17" s="97"/>
      <c r="D17" s="97"/>
      <c r="E17" s="97"/>
      <c r="F17" s="97"/>
      <c r="G17" s="97"/>
      <c r="H17" s="97"/>
      <c r="I17" s="97"/>
      <c r="J17" s="98"/>
      <c r="K17" s="47"/>
      <c r="L17" s="47"/>
      <c r="M17" s="54"/>
      <c r="N17" s="54"/>
      <c r="O17" s="54"/>
    </row>
    <row r="18" spans="1:15" ht="18.399999999999999" customHeight="1" x14ac:dyDescent="0.25">
      <c r="A18" s="3" t="s">
        <v>165</v>
      </c>
      <c r="B18" s="99" t="s">
        <v>181</v>
      </c>
      <c r="C18" s="99"/>
      <c r="D18" s="99"/>
      <c r="E18" s="99"/>
      <c r="F18" s="99"/>
      <c r="G18" s="99"/>
      <c r="H18" s="99"/>
      <c r="I18" s="99"/>
      <c r="J18" s="99"/>
      <c r="K18" s="47"/>
      <c r="L18" s="47"/>
      <c r="M18" s="54"/>
      <c r="N18" s="55"/>
      <c r="O18" s="55"/>
    </row>
    <row r="19" spans="1:15" x14ac:dyDescent="0.25">
      <c r="A19" s="3" t="s">
        <v>166</v>
      </c>
      <c r="B19" s="99" t="s">
        <v>188</v>
      </c>
      <c r="C19" s="99"/>
      <c r="D19" s="99"/>
      <c r="E19" s="99"/>
      <c r="F19" s="99"/>
      <c r="G19" s="99"/>
      <c r="H19" s="99"/>
      <c r="I19" s="99"/>
      <c r="J19" s="99"/>
      <c r="K19" s="47"/>
      <c r="L19" s="47"/>
      <c r="M19" s="54"/>
      <c r="N19" s="55"/>
      <c r="O19" s="55"/>
    </row>
    <row r="20" spans="1:15" x14ac:dyDescent="0.25">
      <c r="A20" s="3" t="s">
        <v>167</v>
      </c>
      <c r="B20" s="99"/>
      <c r="C20" s="99"/>
      <c r="D20" s="99"/>
      <c r="E20" s="99"/>
      <c r="F20" s="99"/>
      <c r="G20" s="99"/>
      <c r="H20" s="99"/>
      <c r="I20" s="99"/>
      <c r="J20" s="99"/>
      <c r="K20" s="47"/>
      <c r="L20" s="47"/>
      <c r="M20" s="54"/>
      <c r="N20" s="55"/>
      <c r="O20" s="55"/>
    </row>
    <row r="21" spans="1:15" x14ac:dyDescent="0.25">
      <c r="A21" s="3" t="s">
        <v>168</v>
      </c>
      <c r="B21" s="99" t="s">
        <v>189</v>
      </c>
      <c r="C21" s="99"/>
      <c r="D21" s="99"/>
      <c r="E21" s="99"/>
      <c r="F21" s="99"/>
      <c r="G21" s="99"/>
      <c r="H21" s="99"/>
      <c r="I21" s="99"/>
      <c r="J21" s="99"/>
      <c r="K21" s="47"/>
      <c r="L21" s="47"/>
      <c r="M21" s="54"/>
      <c r="N21" s="55"/>
      <c r="O21" s="55"/>
    </row>
    <row r="22" spans="1:15" x14ac:dyDescent="0.25">
      <c r="A22" s="3" t="s">
        <v>169</v>
      </c>
      <c r="B22" s="99"/>
      <c r="C22" s="99"/>
      <c r="D22" s="99"/>
      <c r="E22" s="99"/>
      <c r="F22" s="99"/>
      <c r="G22" s="99"/>
      <c r="H22" s="99"/>
      <c r="I22" s="99"/>
      <c r="J22" s="99"/>
      <c r="K22" s="47"/>
      <c r="L22" s="47"/>
      <c r="M22" s="54"/>
      <c r="N22" s="55"/>
      <c r="O22" s="55"/>
    </row>
    <row r="23" spans="1:15" ht="27" customHeight="1" x14ac:dyDescent="0.25">
      <c r="A23" s="3" t="s">
        <v>170</v>
      </c>
      <c r="B23" s="99" t="s">
        <v>183</v>
      </c>
      <c r="C23" s="99"/>
      <c r="D23" s="99"/>
      <c r="E23" s="99"/>
      <c r="F23" s="99"/>
      <c r="G23" s="99"/>
      <c r="H23" s="99"/>
      <c r="I23" s="99"/>
      <c r="J23" s="99"/>
      <c r="K23" s="47"/>
      <c r="L23" s="47"/>
      <c r="M23" s="54"/>
      <c r="N23" s="55"/>
      <c r="O23" s="55"/>
    </row>
    <row r="24" spans="1:15" ht="27" customHeight="1" x14ac:dyDescent="0.25">
      <c r="A24" s="3" t="s">
        <v>171</v>
      </c>
      <c r="B24" s="90" t="s">
        <v>190</v>
      </c>
      <c r="C24" s="91"/>
      <c r="D24" s="91"/>
      <c r="E24" s="91"/>
      <c r="F24" s="91"/>
      <c r="G24" s="91"/>
      <c r="H24" s="91"/>
      <c r="I24" s="91"/>
      <c r="J24" s="92"/>
      <c r="K24" s="47"/>
      <c r="L24" s="47"/>
      <c r="M24" s="54"/>
      <c r="N24" s="55"/>
      <c r="O24" s="55"/>
    </row>
    <row r="25" spans="1:15" ht="27" customHeight="1" x14ac:dyDescent="0.25">
      <c r="A25" s="3" t="s">
        <v>172</v>
      </c>
      <c r="B25" s="90" t="s">
        <v>191</v>
      </c>
      <c r="C25" s="91"/>
      <c r="D25" s="91"/>
      <c r="E25" s="91"/>
      <c r="F25" s="91"/>
      <c r="G25" s="91"/>
      <c r="H25" s="91"/>
      <c r="I25" s="91"/>
      <c r="J25" s="92"/>
      <c r="K25" s="47"/>
      <c r="L25" s="47"/>
      <c r="M25" s="54"/>
      <c r="N25" s="55"/>
      <c r="O25" s="55"/>
    </row>
    <row r="26" spans="1:15" x14ac:dyDescent="0.25">
      <c r="A26" s="3" t="s">
        <v>173</v>
      </c>
      <c r="B26" s="93" t="s">
        <v>188</v>
      </c>
      <c r="C26" s="94"/>
      <c r="D26" s="94"/>
      <c r="E26" s="94"/>
      <c r="F26" s="94"/>
      <c r="G26" s="94"/>
      <c r="H26" s="94"/>
      <c r="I26" s="94"/>
      <c r="J26" s="95"/>
      <c r="K26" s="47"/>
      <c r="L26" s="47"/>
      <c r="M26" s="54"/>
      <c r="N26" s="55"/>
      <c r="O26" s="55"/>
    </row>
    <row r="27" spans="1:15" x14ac:dyDescent="0.25">
      <c r="A27" s="3" t="s">
        <v>174</v>
      </c>
      <c r="B27" s="96"/>
      <c r="C27" s="97"/>
      <c r="D27" s="97"/>
      <c r="E27" s="97"/>
      <c r="F27" s="97"/>
      <c r="G27" s="97"/>
      <c r="H27" s="97"/>
      <c r="I27" s="97"/>
      <c r="J27" s="98"/>
      <c r="K27" s="47"/>
      <c r="L27" s="47"/>
      <c r="M27" s="54"/>
      <c r="N27" s="55"/>
      <c r="O27" s="55"/>
    </row>
  </sheetData>
  <mergeCells count="17">
    <mergeCell ref="Z2:Z6"/>
    <mergeCell ref="B24:J24"/>
    <mergeCell ref="B25:J25"/>
    <mergeCell ref="B26:J27"/>
    <mergeCell ref="B21:J22"/>
    <mergeCell ref="B23:J23"/>
    <mergeCell ref="B8:J8"/>
    <mergeCell ref="B9:J11"/>
    <mergeCell ref="B18:J18"/>
    <mergeCell ref="B19:J20"/>
    <mergeCell ref="I3:I6"/>
    <mergeCell ref="B12:J17"/>
    <mergeCell ref="E1:F1"/>
    <mergeCell ref="G1:H1"/>
    <mergeCell ref="J1:K1"/>
    <mergeCell ref="L1:M1"/>
    <mergeCell ref="N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9</vt:i4>
      </vt:variant>
    </vt:vector>
  </HeadingPairs>
  <TitlesOfParts>
    <vt:vector size="12" baseType="lpstr">
      <vt:lpstr>NaS</vt:lpstr>
      <vt:lpstr>Data</vt:lpstr>
      <vt:lpstr>Uncertanties</vt:lpstr>
      <vt:lpstr>03URT_L</vt:lpstr>
      <vt:lpstr>03URT_U</vt:lpstr>
      <vt:lpstr>04UTL_L</vt:lpstr>
      <vt:lpstr>04UTL_U</vt:lpstr>
      <vt:lpstr>05UOP_L</vt:lpstr>
      <vt:lpstr>05UOP_U</vt:lpstr>
      <vt:lpstr>17_EC</vt:lpstr>
      <vt:lpstr>18_CC</vt:lpstr>
      <vt:lpstr>06ULT_L</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Ulises</cp:lastModifiedBy>
  <cp:revision/>
  <dcterms:created xsi:type="dcterms:W3CDTF">2020-01-16T22:42:34Z</dcterms:created>
  <dcterms:modified xsi:type="dcterms:W3CDTF">2020-05-19T15:28:53Z</dcterms:modified>
</cp:coreProperties>
</file>