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3-CATALOGO TEC BIOMASA\03-NUEVO INFORME\"/>
    </mc:Choice>
  </mc:AlternateContent>
  <bookViews>
    <workbookView xWindow="0" yWindow="0" windowWidth="22875" windowHeight="11715" activeTab="5"/>
  </bookViews>
  <sheets>
    <sheet name="Tabla 3" sheetId="1" r:id="rId1"/>
    <sheet name="Tabla 3 REMBIO" sheetId="9" r:id="rId2"/>
    <sheet name="Tabla 4" sheetId="2" r:id="rId3"/>
    <sheet name="Tabla 4 REMBIO" sheetId="10" r:id="rId4"/>
    <sheet name="Tabla 5" sheetId="3" r:id="rId5"/>
    <sheet name="Tabla 5 (BD-FS-IINGEN)" sheetId="11" r:id="rId6"/>
    <sheet name="Tabla 6" sheetId="4" r:id="rId7"/>
    <sheet name="Tabla 7" sheetId="5" r:id="rId8"/>
    <sheet name="Tabla 8 Resumen" sheetId="6" r:id="rId9"/>
    <sheet name="PCS y PCI" sheetId="7" r:id="rId10"/>
    <sheet name="Referencias" sheetId="8" r:id="rId11"/>
  </sheets>
  <definedNames>
    <definedName name="_ftn1" localSheetId="0">'Tabla 3'!$B$20</definedName>
    <definedName name="_ftn10" localSheetId="2">'Tabla 4'!$B$55</definedName>
    <definedName name="_ftn11" localSheetId="2">'Tabla 4'!$B$56</definedName>
    <definedName name="_ftn12" localSheetId="2">'Tabla 4'!$B$57</definedName>
    <definedName name="_ftn13" localSheetId="2">'Tabla 4'!$B$58</definedName>
    <definedName name="_ftn2" localSheetId="0">'Tabla 3'!$B$21</definedName>
    <definedName name="_ftn3" localSheetId="0">'Tabla 3'!$B$22</definedName>
    <definedName name="_ftn4" localSheetId="0">'Tabla 3'!$B$23</definedName>
    <definedName name="_ftn5" localSheetId="0">'Tabla 3'!$B$24</definedName>
    <definedName name="_ftn6" localSheetId="2">'Tabla 4'!$B$51</definedName>
    <definedName name="_ftn7" localSheetId="2">'Tabla 4'!$B$52</definedName>
    <definedName name="_ftn8" localSheetId="2">'Tabla 4'!$B$53</definedName>
    <definedName name="_ftn9" localSheetId="2">'Tabla 4'!$B$54</definedName>
    <definedName name="_ftnref1" localSheetId="0">'Tabla 3'!$D$12</definedName>
    <definedName name="_ftnref10" localSheetId="2">'Tabla 4'!$G$39</definedName>
    <definedName name="_ftnref11" localSheetId="2">'Tabla 4'!$H$39</definedName>
    <definedName name="_ftnref12" localSheetId="2">'Tabla 4'!$I$39</definedName>
    <definedName name="_ftnref13" localSheetId="2">'Tabla 4'!$J$39</definedName>
    <definedName name="_ftnref2" localSheetId="0">'Tabla 3'!$E$12</definedName>
    <definedName name="_ftnref3" localSheetId="0">'Tabla 3'!$F$12</definedName>
    <definedName name="_ftnref4" localSheetId="0">'Tabla 3'!$I$12</definedName>
    <definedName name="_ftnref5" localSheetId="0">'Tabla 3'!$J$12</definedName>
    <definedName name="_ftnref6" localSheetId="2">'Tabla 4'!$D$35</definedName>
    <definedName name="_ftnref7" localSheetId="2">'Tabla 4'!$E$35</definedName>
    <definedName name="_ftnref8" localSheetId="2">'Tabla 4'!$D$37</definedName>
    <definedName name="_ftnref9" localSheetId="2">'Tabla 4'!$F$39</definedName>
    <definedName name="_Ref531278216" localSheetId="6">'Tabla 6'!$B$1</definedName>
    <definedName name="_Ref531280360" localSheetId="8">'Tabla 8 Resumen'!$B$1</definedName>
    <definedName name="_Ref531451548" localSheetId="0">'Tabla 3'!$B$1</definedName>
    <definedName name="_Ref531451606" localSheetId="2">'Tabla 4'!$B$1</definedName>
    <definedName name="_Ref531534467" localSheetId="4">'Tabla 5'!$A$1</definedName>
    <definedName name="_Ref531534571" localSheetId="7">'Tabla 7'!$B$1</definedName>
    <definedName name="_xlnm.Print_Area" localSheetId="4">'Tabla 5'!$A$1:$H$40</definedName>
    <definedName name="_xlnm.Print_Area" localSheetId="5">'Tabla 5 (BD-FS-IINGEN)'!$A$1:$I$50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1" l="1"/>
  <c r="E22" i="11" s="1"/>
  <c r="G21" i="11"/>
  <c r="G29" i="11" s="1"/>
  <c r="G20" i="11"/>
  <c r="G28" i="11" s="1"/>
  <c r="G19" i="11"/>
  <c r="G27" i="11" s="1"/>
  <c r="G18" i="11"/>
  <c r="G26" i="11" s="1"/>
  <c r="E19" i="11"/>
  <c r="E27" i="11" s="1"/>
  <c r="E20" i="11"/>
  <c r="E24" i="11" s="1"/>
  <c r="E21" i="11"/>
  <c r="E25" i="11" s="1"/>
  <c r="F21" i="11"/>
  <c r="F29" i="11" s="1"/>
  <c r="F20" i="11"/>
  <c r="F28" i="11" s="1"/>
  <c r="F19" i="11"/>
  <c r="F27" i="11" s="1"/>
  <c r="F18" i="11"/>
  <c r="F26" i="11" s="1"/>
  <c r="G9" i="11"/>
  <c r="G36" i="11" s="1"/>
  <c r="F9" i="11"/>
  <c r="F36" i="11" s="1"/>
  <c r="E9" i="11"/>
  <c r="E36" i="11" s="1"/>
  <c r="E23" i="11" l="1"/>
  <c r="E30" i="11"/>
  <c r="E32" i="11" s="1"/>
  <c r="F38" i="11"/>
  <c r="G38" i="11"/>
  <c r="F31" i="11"/>
  <c r="F33" i="11" s="1"/>
  <c r="F47" i="11" s="1"/>
  <c r="F49" i="11" s="1"/>
  <c r="E37" i="11"/>
  <c r="E29" i="11"/>
  <c r="E31" i="11" s="1"/>
  <c r="E33" i="11" s="1"/>
  <c r="E47" i="11" s="1"/>
  <c r="E49" i="11" s="1"/>
  <c r="G31" i="11"/>
  <c r="G33" i="11" s="1"/>
  <c r="G47" i="11" s="1"/>
  <c r="G49" i="11" s="1"/>
  <c r="F22" i="11"/>
  <c r="F30" i="11" s="1"/>
  <c r="F32" i="11" s="1"/>
  <c r="F46" i="11" s="1"/>
  <c r="F48" i="11" s="1"/>
  <c r="F23" i="11"/>
  <c r="F24" i="11"/>
  <c r="F25" i="11"/>
  <c r="E28" i="11"/>
  <c r="E26" i="11"/>
  <c r="G22" i="11"/>
  <c r="G30" i="11" s="1"/>
  <c r="G32" i="11" s="1"/>
  <c r="G46" i="11" s="1"/>
  <c r="G48" i="11" s="1"/>
  <c r="G23" i="11"/>
  <c r="G24" i="11"/>
  <c r="G25" i="11"/>
  <c r="G37" i="11" l="1"/>
  <c r="I49" i="11"/>
  <c r="G40" i="11"/>
  <c r="E38" i="11"/>
  <c r="G41" i="11" s="1"/>
  <c r="F37" i="11"/>
  <c r="E46" i="11"/>
  <c r="E48" i="11" s="1"/>
  <c r="I48" i="11" s="1"/>
  <c r="D9" i="6" l="1"/>
  <c r="F9" i="6"/>
  <c r="K36" i="7"/>
  <c r="J36" i="7"/>
  <c r="J31" i="7"/>
  <c r="J32" i="7"/>
  <c r="J33" i="7"/>
  <c r="J34" i="7"/>
  <c r="J35" i="7"/>
  <c r="J30" i="7"/>
  <c r="H35" i="7"/>
  <c r="H31" i="7"/>
  <c r="H32" i="7"/>
  <c r="H33" i="7"/>
  <c r="H34" i="7"/>
  <c r="H30" i="7"/>
  <c r="D18" i="3" l="1"/>
  <c r="F18" i="9"/>
  <c r="F12" i="9"/>
  <c r="F14" i="9"/>
  <c r="J61" i="2"/>
  <c r="J27" i="10"/>
  <c r="M19" i="10"/>
  <c r="G19" i="10"/>
  <c r="H19" i="10"/>
  <c r="I19" i="10"/>
  <c r="J19" i="10"/>
  <c r="K19" i="10"/>
  <c r="L19" i="10"/>
  <c r="F19" i="10"/>
  <c r="F18" i="10"/>
  <c r="F7" i="10"/>
  <c r="F13" i="10" s="1"/>
  <c r="F14" i="10" s="1"/>
  <c r="F16" i="10" s="1"/>
  <c r="M5" i="10"/>
  <c r="G7" i="10"/>
  <c r="H7" i="10"/>
  <c r="H13" i="10" s="1"/>
  <c r="I7" i="10"/>
  <c r="I13" i="10" s="1"/>
  <c r="J7" i="10"/>
  <c r="K7" i="10"/>
  <c r="L7" i="10"/>
  <c r="L13" i="10" s="1"/>
  <c r="F10" i="10"/>
  <c r="G10" i="10"/>
  <c r="J10" i="10"/>
  <c r="K10" i="10"/>
  <c r="G13" i="10"/>
  <c r="J13" i="10"/>
  <c r="J14" i="10" s="1"/>
  <c r="J16" i="10" s="1"/>
  <c r="J18" i="10" s="1"/>
  <c r="K13" i="10"/>
  <c r="K14" i="10" s="1"/>
  <c r="K16" i="10" s="1"/>
  <c r="F17" i="10"/>
  <c r="G17" i="10"/>
  <c r="H17" i="10"/>
  <c r="I17" i="10"/>
  <c r="J17" i="10"/>
  <c r="K17" i="10"/>
  <c r="L17" i="10"/>
  <c r="J16" i="1"/>
  <c r="D16" i="1"/>
  <c r="K31" i="9"/>
  <c r="H9" i="1"/>
  <c r="H13" i="1" s="1"/>
  <c r="C54" i="7"/>
  <c r="D50" i="7"/>
  <c r="D54" i="7" s="1"/>
  <c r="D49" i="7"/>
  <c r="D48" i="7"/>
  <c r="D46" i="7"/>
  <c r="D42" i="7"/>
  <c r="D41" i="7"/>
  <c r="D40" i="7"/>
  <c r="C36" i="7"/>
  <c r="E32" i="7"/>
  <c r="D32" i="7"/>
  <c r="E31" i="7"/>
  <c r="D31" i="7"/>
  <c r="E30" i="7"/>
  <c r="E36" i="7" s="1"/>
  <c r="D30" i="7"/>
  <c r="C28" i="7"/>
  <c r="E24" i="7"/>
  <c r="D24" i="7"/>
  <c r="E23" i="7"/>
  <c r="D23" i="7"/>
  <c r="E22" i="7"/>
  <c r="E28" i="7" s="1"/>
  <c r="D22" i="7"/>
  <c r="K48" i="9"/>
  <c r="J48" i="9"/>
  <c r="I48" i="9"/>
  <c r="H48" i="9"/>
  <c r="G48" i="9"/>
  <c r="F48" i="9"/>
  <c r="E48" i="9"/>
  <c r="J46" i="9"/>
  <c r="J47" i="9" s="1"/>
  <c r="J49" i="9" s="1"/>
  <c r="J50" i="9" s="1"/>
  <c r="K43" i="9"/>
  <c r="K45" i="9" s="1"/>
  <c r="K47" i="9" s="1"/>
  <c r="J43" i="9"/>
  <c r="J45" i="9" s="1"/>
  <c r="I43" i="9"/>
  <c r="I45" i="9" s="1"/>
  <c r="I47" i="9" s="1"/>
  <c r="I49" i="9" s="1"/>
  <c r="I50" i="9" s="1"/>
  <c r="H43" i="9"/>
  <c r="H45" i="9" s="1"/>
  <c r="H47" i="9" s="1"/>
  <c r="G43" i="9"/>
  <c r="G45" i="9" s="1"/>
  <c r="G47" i="9" s="1"/>
  <c r="F43" i="9"/>
  <c r="F45" i="9" s="1"/>
  <c r="F47" i="9" s="1"/>
  <c r="F49" i="9" s="1"/>
  <c r="F50" i="9" s="1"/>
  <c r="E43" i="9"/>
  <c r="L43" i="9" s="1"/>
  <c r="L17" i="9"/>
  <c r="K17" i="9"/>
  <c r="J17" i="9"/>
  <c r="I17" i="9"/>
  <c r="H17" i="9"/>
  <c r="G17" i="9"/>
  <c r="F17" i="9"/>
  <c r="K13" i="9"/>
  <c r="K14" i="9" s="1"/>
  <c r="K18" i="9" s="1"/>
  <c r="L10" i="9"/>
  <c r="L12" i="9" s="1"/>
  <c r="L14" i="9" s="1"/>
  <c r="K10" i="9"/>
  <c r="K12" i="9" s="1"/>
  <c r="J10" i="9"/>
  <c r="J12" i="9" s="1"/>
  <c r="J14" i="9" s="1"/>
  <c r="J18" i="9" s="1"/>
  <c r="I10" i="9"/>
  <c r="I12" i="9" s="1"/>
  <c r="I14" i="9" s="1"/>
  <c r="H10" i="9"/>
  <c r="H12" i="9" s="1"/>
  <c r="H14" i="9" s="1"/>
  <c r="G10" i="9"/>
  <c r="G12" i="9" s="1"/>
  <c r="G14" i="9" s="1"/>
  <c r="G18" i="9" s="1"/>
  <c r="F10" i="9"/>
  <c r="M10" i="9" s="1"/>
  <c r="I14" i="10" l="1"/>
  <c r="I16" i="10" s="1"/>
  <c r="I18" i="10" s="1"/>
  <c r="M13" i="10"/>
  <c r="I10" i="10"/>
  <c r="G14" i="10"/>
  <c r="L10" i="10"/>
  <c r="L14" i="10" s="1"/>
  <c r="L16" i="10" s="1"/>
  <c r="L18" i="10" s="1"/>
  <c r="H10" i="10"/>
  <c r="H14" i="10" s="1"/>
  <c r="H16" i="10" s="1"/>
  <c r="H18" i="10" s="1"/>
  <c r="M7" i="10"/>
  <c r="K18" i="10"/>
  <c r="D36" i="7"/>
  <c r="D28" i="7"/>
  <c r="H49" i="9"/>
  <c r="H50" i="9" s="1"/>
  <c r="I18" i="9"/>
  <c r="J19" i="9"/>
  <c r="H18" i="9"/>
  <c r="L18" i="9"/>
  <c r="K19" i="9"/>
  <c r="G19" i="9"/>
  <c r="G49" i="9"/>
  <c r="G50" i="9" s="1"/>
  <c r="K49" i="9"/>
  <c r="K50" i="9" s="1"/>
  <c r="E45" i="9"/>
  <c r="M10" i="10" l="1"/>
  <c r="M14" i="10"/>
  <c r="G16" i="10"/>
  <c r="L19" i="9"/>
  <c r="I19" i="9"/>
  <c r="L45" i="9"/>
  <c r="E47" i="9"/>
  <c r="M12" i="9"/>
  <c r="H19" i="9"/>
  <c r="M16" i="10" l="1"/>
  <c r="G18" i="10"/>
  <c r="M18" i="10" s="1"/>
  <c r="M14" i="9"/>
  <c r="E49" i="9"/>
  <c r="L47" i="9"/>
  <c r="L49" i="9" l="1"/>
  <c r="L50" i="9" s="1"/>
  <c r="E50" i="9"/>
  <c r="M18" i="9"/>
  <c r="F20" i="9"/>
  <c r="F19" i="9"/>
  <c r="M20" i="9" l="1"/>
  <c r="M19" i="9"/>
  <c r="G20" i="9"/>
  <c r="J20" i="9"/>
  <c r="K20" i="9"/>
  <c r="L20" i="9"/>
  <c r="H20" i="9"/>
  <c r="I20" i="9"/>
  <c r="D15" i="3" l="1"/>
  <c r="H9" i="6" l="1"/>
  <c r="E9" i="5" l="1"/>
  <c r="E12" i="5" s="1"/>
  <c r="E15" i="5" s="1"/>
  <c r="F9" i="5"/>
  <c r="F12" i="5" s="1"/>
  <c r="F15" i="5" s="1"/>
  <c r="G9" i="5"/>
  <c r="G12" i="5" s="1"/>
  <c r="G15" i="5" s="1"/>
  <c r="H9" i="5"/>
  <c r="H12" i="5" s="1"/>
  <c r="H15" i="5" s="1"/>
  <c r="D9" i="5"/>
  <c r="D12" i="5" s="1"/>
  <c r="D15" i="5" s="1"/>
  <c r="F7" i="4"/>
  <c r="F11" i="4" s="1"/>
  <c r="E7" i="4"/>
  <c r="E9" i="4" s="1"/>
  <c r="E12" i="4" s="1"/>
  <c r="D7" i="4"/>
  <c r="D11" i="4" s="1"/>
  <c r="E9" i="1"/>
  <c r="E16" i="1" s="1"/>
  <c r="F9" i="1"/>
  <c r="F16" i="1" s="1"/>
  <c r="G9" i="1"/>
  <c r="G13" i="1" s="1"/>
  <c r="G17" i="1" s="1"/>
  <c r="H16" i="1"/>
  <c r="I9" i="1"/>
  <c r="I13" i="1" s="1"/>
  <c r="I17" i="1" s="1"/>
  <c r="J9" i="1"/>
  <c r="D9" i="1"/>
  <c r="D13" i="1" s="1"/>
  <c r="D17" i="1" s="1"/>
  <c r="E13" i="1" l="1"/>
  <c r="E17" i="1" s="1"/>
  <c r="F9" i="4"/>
  <c r="F12" i="4" s="1"/>
  <c r="E11" i="4"/>
  <c r="G16" i="1"/>
  <c r="D9" i="4"/>
  <c r="D12" i="4" s="1"/>
  <c r="F18" i="4"/>
  <c r="H17" i="1"/>
  <c r="H19" i="5"/>
  <c r="J13" i="1"/>
  <c r="J17" i="1" s="1"/>
  <c r="J28" i="1" s="1"/>
  <c r="F13" i="1"/>
  <c r="F17" i="1" s="1"/>
  <c r="I16" i="1"/>
  <c r="E13" i="3"/>
  <c r="F13" i="3"/>
  <c r="D13" i="3"/>
  <c r="E18" i="3"/>
  <c r="F18" i="3"/>
  <c r="E15" i="3"/>
  <c r="F15" i="3"/>
  <c r="D10" i="3"/>
  <c r="F10" i="3"/>
  <c r="E10" i="3"/>
  <c r="K30" i="2"/>
  <c r="J7" i="2"/>
  <c r="J8" i="2" s="1"/>
  <c r="J14" i="2" s="1"/>
  <c r="I7" i="2"/>
  <c r="I8" i="2" s="1"/>
  <c r="I13" i="2" s="1"/>
  <c r="H7" i="2"/>
  <c r="H8" i="2" s="1"/>
  <c r="G7" i="2"/>
  <c r="G8" i="2" s="1"/>
  <c r="G14" i="2" s="1"/>
  <c r="F7" i="2"/>
  <c r="F8" i="2" s="1"/>
  <c r="F14" i="2" s="1"/>
  <c r="E7" i="2"/>
  <c r="E8" i="2" s="1"/>
  <c r="E13" i="2" s="1"/>
  <c r="D7" i="2"/>
  <c r="D8" i="2" s="1"/>
  <c r="D14" i="2" s="1"/>
  <c r="D17" i="3" l="1"/>
  <c r="D36" i="3" s="1"/>
  <c r="D30" i="3"/>
  <c r="D31" i="3"/>
  <c r="E30" i="3"/>
  <c r="E31" i="3"/>
  <c r="I14" i="2"/>
  <c r="I28" i="2" s="1"/>
  <c r="D33" i="3"/>
  <c r="E17" i="3"/>
  <c r="F31" i="3"/>
  <c r="F30" i="3"/>
  <c r="F17" i="3"/>
  <c r="D20" i="3"/>
  <c r="F20" i="3"/>
  <c r="E20" i="3"/>
  <c r="I27" i="2"/>
  <c r="I26" i="2"/>
  <c r="E27" i="2"/>
  <c r="E26" i="2"/>
  <c r="F28" i="2"/>
  <c r="F29" i="2"/>
  <c r="J28" i="2"/>
  <c r="J29" i="2"/>
  <c r="D28" i="2"/>
  <c r="D29" i="2"/>
  <c r="G28" i="2"/>
  <c r="G29" i="2"/>
  <c r="H13" i="2"/>
  <c r="H14" i="2"/>
  <c r="F13" i="2"/>
  <c r="J13" i="2"/>
  <c r="D13" i="2"/>
  <c r="G13" i="2"/>
  <c r="E14" i="2"/>
  <c r="F33" i="3" l="1"/>
  <c r="I29" i="2"/>
  <c r="I41" i="2" s="1"/>
  <c r="I15" i="2"/>
  <c r="D37" i="3"/>
  <c r="D39" i="3" s="1"/>
  <c r="E37" i="3"/>
  <c r="E36" i="3"/>
  <c r="F37" i="3"/>
  <c r="F36" i="3"/>
  <c r="E33" i="3"/>
  <c r="D41" i="2"/>
  <c r="I40" i="2"/>
  <c r="F25" i="3"/>
  <c r="D15" i="2"/>
  <c r="D27" i="2"/>
  <c r="D26" i="2"/>
  <c r="H15" i="2"/>
  <c r="H27" i="2"/>
  <c r="H26" i="2"/>
  <c r="J27" i="2"/>
  <c r="J26" i="2"/>
  <c r="J15" i="2"/>
  <c r="F41" i="2"/>
  <c r="E28" i="2"/>
  <c r="E29" i="2"/>
  <c r="F27" i="2"/>
  <c r="F26" i="2"/>
  <c r="F15" i="2"/>
  <c r="E15" i="2"/>
  <c r="G27" i="2"/>
  <c r="G26" i="2"/>
  <c r="G15" i="2"/>
  <c r="H29" i="2"/>
  <c r="H28" i="2"/>
  <c r="G41" i="2"/>
  <c r="J41" i="2"/>
  <c r="E40" i="2"/>
  <c r="E39" i="3" l="1"/>
  <c r="I42" i="2"/>
  <c r="I30" i="2"/>
  <c r="F39" i="3"/>
  <c r="E41" i="2"/>
  <c r="E42" i="2" s="1"/>
  <c r="H41" i="2"/>
  <c r="F40" i="2"/>
  <c r="F42" i="2" s="1"/>
  <c r="F30" i="2"/>
  <c r="D40" i="2"/>
  <c r="D42" i="2" s="1"/>
  <c r="D30" i="2"/>
  <c r="H40" i="2"/>
  <c r="H30" i="2"/>
  <c r="G40" i="2"/>
  <c r="G42" i="2" s="1"/>
  <c r="G30" i="2"/>
  <c r="J40" i="2"/>
  <c r="J42" i="2" s="1"/>
  <c r="J30" i="2"/>
  <c r="E30" i="2"/>
  <c r="H42" i="2" l="1"/>
</calcChain>
</file>

<file path=xl/sharedStrings.xml><?xml version="1.0" encoding="utf-8"?>
<sst xmlns="http://schemas.openxmlformats.org/spreadsheetml/2006/main" count="925" uniqueCount="600">
  <si>
    <t>RESIDUO AGRÍCOLA</t>
  </si>
  <si>
    <t>Trigo</t>
  </si>
  <si>
    <t>Sorgo</t>
  </si>
  <si>
    <t>Maíz</t>
  </si>
  <si>
    <t>Agave Tequila</t>
  </si>
  <si>
    <t>Agave Mezcal</t>
  </si>
  <si>
    <t>Caña de azúcar</t>
  </si>
  <si>
    <t>Materia prima residual</t>
  </si>
  <si>
    <t>Paja</t>
  </si>
  <si>
    <t>Tallos</t>
  </si>
  <si>
    <t>Bagazo</t>
  </si>
  <si>
    <t>Producción de cultivo (t) (2016)</t>
  </si>
  <si>
    <t>A</t>
  </si>
  <si>
    <t>Referencia</t>
  </si>
  <si>
    <t>[5]</t>
  </si>
  <si>
    <t>[6]</t>
  </si>
  <si>
    <t>Proporción de residuos a producción</t>
  </si>
  <si>
    <t>P</t>
  </si>
  <si>
    <t>[12]</t>
  </si>
  <si>
    <t>[11]</t>
  </si>
  <si>
    <t>[13]</t>
  </si>
  <si>
    <t>[14]</t>
  </si>
  <si>
    <t>Cantidad residual - teórica (t/año)</t>
  </si>
  <si>
    <t>B = A*P</t>
  </si>
  <si>
    <t>D</t>
  </si>
  <si>
    <t>en 10.63%</t>
  </si>
  <si>
    <t>en 8.85%</t>
  </si>
  <si>
    <t>en 8.02%</t>
  </si>
  <si>
    <t>en 44%</t>
  </si>
  <si>
    <t>en 6.00%</t>
  </si>
  <si>
    <t>en 48%</t>
  </si>
  <si>
    <t>[18]</t>
  </si>
  <si>
    <t>PT = B*D</t>
  </si>
  <si>
    <t>Relación residual no utilizada</t>
  </si>
  <si>
    <t>Rr</t>
  </si>
  <si>
    <t>[3]</t>
  </si>
  <si>
    <t>Cantidad residual no utilizada (t)</t>
  </si>
  <si>
    <t>CR = B*Rr</t>
  </si>
  <si>
    <t>UT = PT*Rr</t>
  </si>
  <si>
    <t>Tabla 3. Escrutinio de biomasa en México: cultivos agrícolas clave con residuos relevantes para la combustión.</t>
  </si>
  <si>
    <t>BOSQUE RESIDUAL</t>
  </si>
  <si>
    <t>Silvicultura - Madera en rollo</t>
  </si>
  <si>
    <t>Residuos de jardín</t>
  </si>
  <si>
    <t>Especies/materia prima residual</t>
  </si>
  <si>
    <t>Pino</t>
  </si>
  <si>
    <t>Árboles tropicales ordinarios</t>
  </si>
  <si>
    <t>Oyamel</t>
  </si>
  <si>
    <t>Otros árboles coníferos</t>
  </si>
  <si>
    <t>Especies preciosas</t>
  </si>
  <si>
    <t>Astillas de madera</t>
  </si>
  <si>
    <t>Volumen de producción (2016) (m³)</t>
  </si>
  <si>
    <t>Vr</t>
  </si>
  <si>
    <t>N/A</t>
  </si>
  <si>
    <t>Densidad de la madera (t/m³)</t>
  </si>
  <si>
    <t>d</t>
  </si>
  <si>
    <t>Producción (madera en rollo) (t)</t>
  </si>
  <si>
    <t>Mr = Vr*d</t>
  </si>
  <si>
    <t>A = (Mr)*(1/0.6)</t>
  </si>
  <si>
    <t>Residuos de cosecha forestal</t>
  </si>
  <si>
    <t>P1</t>
  </si>
  <si>
    <t>Residuos en aserradero</t>
  </si>
  <si>
    <t>P2</t>
  </si>
  <si>
    <t>B1 = A*P1</t>
  </si>
  <si>
    <t>Potencial bruto de residuos en aserradero (t)</t>
  </si>
  <si>
    <t>B2 = A*P2</t>
  </si>
  <si>
    <t>Potencial bruto total de residuos forestales (t)</t>
  </si>
  <si>
    <t>Bt = B1 + B2</t>
  </si>
  <si>
    <t>Bosque no utilizado y recuperable - ramas, astillas</t>
  </si>
  <si>
    <t>TR1</t>
  </si>
  <si>
    <t>Proporción de bosques no utilizados y recuperables - aserrín</t>
  </si>
  <si>
    <t>TR2</t>
  </si>
  <si>
    <t>Proporción de aserradero no utilizado y recuperable - cortes, astillas</t>
  </si>
  <si>
    <t>TR3</t>
  </si>
  <si>
    <t>Proporción de aserradero no utilizado y recuperable - aserrín</t>
  </si>
  <si>
    <t>TR4</t>
  </si>
  <si>
    <t>Proporción de la cosecha forestal como ramas (astillas)</t>
  </si>
  <si>
    <t>CR1</t>
  </si>
  <si>
    <t>Proporción de la cosecha forestal como aserrín</t>
  </si>
  <si>
    <t>CR2</t>
  </si>
  <si>
    <t>Relación de residuos de aserradero como cortes, desechos (astillas)</t>
  </si>
  <si>
    <t>CR3</t>
  </si>
  <si>
    <t>Proporción de residuos de aserradero como aserrín</t>
  </si>
  <si>
    <t>CR4</t>
  </si>
  <si>
    <t>Evaluación de expertos</t>
  </si>
  <si>
    <t>Residuos potenciales técnicos forestales - ramas, (astillas) (t)</t>
  </si>
  <si>
    <t>QR1 = B1*TR1*CR1</t>
  </si>
  <si>
    <t>Residuos potenciales técnicos forestales– aserrín (t)</t>
  </si>
  <si>
    <t xml:space="preserve">Residuos potenciales técnicos en aserraderos como cortes (astillas) (t) </t>
  </si>
  <si>
    <t>Residuos potenciales técnicos en aserraderos como aserrín (t)</t>
  </si>
  <si>
    <t>Cantidad total de residuos recuperables (t)</t>
  </si>
  <si>
    <t>D1</t>
  </si>
  <si>
    <t>D2</t>
  </si>
  <si>
    <t>D3</t>
  </si>
  <si>
    <t>D4</t>
  </si>
  <si>
    <t> N/A</t>
  </si>
  <si>
    <t>[15]</t>
  </si>
  <si>
    <t>Potencial teórico a partir de residuos forestales (GJ)</t>
  </si>
  <si>
    <t>PT1 = QR1*D1 + QR2*D2</t>
  </si>
  <si>
    <t>Potencial teórico a partir de residuos de aserradero forestal (GJ)</t>
  </si>
  <si>
    <t>PT2 = QR3*D3 +QR4*D4</t>
  </si>
  <si>
    <t>PTt = PT1 + PT2</t>
  </si>
  <si>
    <t>QRt = QR1 + QR2 + QR3 + QR4</t>
  </si>
  <si>
    <t>Potencial bruto de residuos de cosecha forestal (t)</t>
  </si>
  <si>
    <t>QR2 = B1*TR2*CR2</t>
  </si>
  <si>
    <t>QR3 = B2*TR3*CR3</t>
  </si>
  <si>
    <t>QR4 = B2*TR4*CR4</t>
  </si>
  <si>
    <t>Tabla 4. Escrutinio de biomasa en México: residuos forestales relevantes para la combustión.</t>
  </si>
  <si>
    <t>[19], [20], [21] y evaluación de expertos</t>
  </si>
  <si>
    <t>[19], [20], [21]</t>
  </si>
  <si>
    <t>Cantidad total (madera en rollo + residuos) (t) [1]</t>
  </si>
  <si>
    <t>RESIDUOS DE AGRICULTURA HÚMEDOS</t>
  </si>
  <si>
    <t>Aves de corral</t>
  </si>
  <si>
    <t>Ganado lechero</t>
  </si>
  <si>
    <t>Porcino</t>
  </si>
  <si>
    <t>Estiércol</t>
  </si>
  <si>
    <t>Unidades de población (cabezas) (2016)</t>
  </si>
  <si>
    <t>[22]</t>
  </si>
  <si>
    <t>Producción residual por ciclo de producción (t/cabeza) - teórico</t>
  </si>
  <si>
    <t>[24]</t>
  </si>
  <si>
    <t>[25]</t>
  </si>
  <si>
    <t>[26]</t>
  </si>
  <si>
    <t>Cantidad residual - teórico (t)</t>
  </si>
  <si>
    <t>Potencial de biogás (GJ/t)</t>
  </si>
  <si>
    <t>Potencial bruto de biogás (TJ) (rango)</t>
  </si>
  <si>
    <t>Cantidad residual no utilizada - técnico (t)</t>
  </si>
  <si>
    <t>CR1 = Rr*B</t>
  </si>
  <si>
    <t>Potencial teórico del biogás (TJ) (rango)</t>
  </si>
  <si>
    <t>Potencial teórico de biogás (TJ) (media)</t>
  </si>
  <si>
    <t>[1] La producción residual por ciclo de producción en t/cabeza se establece en 0,560 para cerdos adultos (70 kg) y 0,048 para cerdos de cría (12,5 kg). Para la cantidad residual, se ha asumido una proporción de cerdos de cría a cerdos 25%, basado en [50].</t>
  </si>
  <si>
    <r>
      <t>E</t>
    </r>
    <r>
      <rPr>
        <vertAlign val="subscript"/>
        <sz val="9"/>
        <color theme="1"/>
        <rFont val="Verdana"/>
        <family val="2"/>
      </rPr>
      <t>mín</t>
    </r>
  </si>
  <si>
    <r>
      <t>E</t>
    </r>
    <r>
      <rPr>
        <vertAlign val="subscript"/>
        <sz val="9"/>
        <color theme="1"/>
        <rFont val="Verdana"/>
        <family val="2"/>
      </rPr>
      <t>max</t>
    </r>
  </si>
  <si>
    <t>[1]</t>
  </si>
  <si>
    <t>1,358.9 - 2,288.5</t>
  </si>
  <si>
    <t>2,3871.7 - 40,186.6</t>
  </si>
  <si>
    <t>3,811.8 - 6,419.9</t>
  </si>
  <si>
    <t>1,087.1 - 1,830.8</t>
  </si>
  <si>
    <t>19,099.8 - 32,153.4</t>
  </si>
  <si>
    <t>3,049.4 - 5,135.9</t>
  </si>
  <si>
    <t>E media</t>
  </si>
  <si>
    <t>Tabla 5. Escrutinio de biomasa en México: residuos de biomasa húmeda de la agricultura relevantes para la producción de biogás.</t>
  </si>
  <si>
    <t>PROCESAMIENTO DE ALIMENTOS HÚMEDOS/RESIDUOS MUNICIPALES</t>
  </si>
  <si>
    <t>Residuos de matadero</t>
  </si>
  <si>
    <t>Aguas residuales de matadero</t>
  </si>
  <si>
    <t>Residuos municipales</t>
  </si>
  <si>
    <t>Sangre y líquidos</t>
  </si>
  <si>
    <t>Lodo</t>
  </si>
  <si>
    <t>Producción (2015) (t)</t>
  </si>
  <si>
    <t>Potencial teórico (t/año)</t>
  </si>
  <si>
    <t>B=A*P</t>
  </si>
  <si>
    <t>Contenido energético (GJ/t)</t>
  </si>
  <si>
    <t>Potencial energético bruto (TJ)</t>
  </si>
  <si>
    <t>Referencia para todos los valores [3]</t>
  </si>
  <si>
    <t>Tabla 6: Escrutinio de biomasa en México: residuos de biomasa húmeda de industrias relevantes para la producción de biogás.</t>
  </si>
  <si>
    <t>[7], [8], [9], [10], [11]</t>
  </si>
  <si>
    <t>RESIDUO DE PROCESAMIENTO DE ALIMENTOS</t>
  </si>
  <si>
    <t>Café</t>
  </si>
  <si>
    <t>Tequila</t>
  </si>
  <si>
    <t>Mercado mayorista</t>
  </si>
  <si>
    <t>Residuos de Alimentos Municipales</t>
  </si>
  <si>
    <t>Residuos agrícolas</t>
  </si>
  <si>
    <t>Pulpa</t>
  </si>
  <si>
    <t>Vinaza</t>
  </si>
  <si>
    <t>Residuos</t>
  </si>
  <si>
    <t>Desechos alimentarios</t>
  </si>
  <si>
    <t>Residuos vegetales</t>
  </si>
  <si>
    <t>Producción en t (2016)</t>
  </si>
  <si>
    <t xml:space="preserve">[5] </t>
  </si>
  <si>
    <t xml:space="preserve">Residuo a producción (relación) </t>
  </si>
  <si>
    <t>[27]</t>
  </si>
  <si>
    <t>Cantidad residual - teórica en t</t>
  </si>
  <si>
    <t>Potencial bruto de biogás en TJ</t>
  </si>
  <si>
    <t>Estimación de expertos y consultores de la industria</t>
  </si>
  <si>
    <t>Potencial teórico del biogás (TJ)</t>
  </si>
  <si>
    <t>Tabla 7. Escrutinio de biomasa en México: residuos de biomasa del procesamiento de alimentos relevantes para la producción de biogás.</t>
  </si>
  <si>
    <t>SECTOR</t>
  </si>
  <si>
    <t>Biogás</t>
  </si>
  <si>
    <t>Agricultura</t>
  </si>
  <si>
    <t>Residuos forestales y de jardinería</t>
  </si>
  <si>
    <t>Ninguno</t>
  </si>
  <si>
    <t>Industria - procesamiento de alimentos</t>
  </si>
  <si>
    <t>No evaluado</t>
  </si>
  <si>
    <t>Industria - residuos municipales y residuos de mataderos</t>
  </si>
  <si>
    <t>Total</t>
  </si>
  <si>
    <t>Encino</t>
  </si>
  <si>
    <t>Otros árboles 
de hoja ancha 
(Especies latifoliadas)</t>
  </si>
  <si>
    <t>Suma (estiercol aves de corral, ganado lechero, ganado porcino)</t>
  </si>
  <si>
    <t>Suma (pulpa café, vinaza de tequila, residuos mercados may, residuos alimentos mun, residuos agricolas)</t>
  </si>
  <si>
    <t>Potencial teórico de biogas (TJ)</t>
  </si>
  <si>
    <t>Potencial teórico combustion (TJ)</t>
  </si>
  <si>
    <t>Tabla 3</t>
  </si>
  <si>
    <t>Tabla 7</t>
  </si>
  <si>
    <t>Tabla 4</t>
  </si>
  <si>
    <t>Tabla 5</t>
  </si>
  <si>
    <t>Tabla 6</t>
  </si>
  <si>
    <t>Suma (paja trigo, paja sorgo, tallos maiz, bagazo agave tequila, bagazo agave mezcal, caña de azucar-res. cosecha, caña de azucar- bagazo)</t>
  </si>
  <si>
    <t>Calculos indiv. de Potencial bruto de biogás (TJ)</t>
  </si>
  <si>
    <t xml:space="preserve">Calculos indiv. de Potencial teórico del biogás (TJ) </t>
  </si>
  <si>
    <t>Calculos para tabla</t>
  </si>
  <si>
    <t>Tabla corregida</t>
  </si>
  <si>
    <t>Puntas y Hojas</t>
  </si>
  <si>
    <t>unidades</t>
  </si>
  <si>
    <t>t</t>
  </si>
  <si>
    <t>Residuo</t>
  </si>
  <si>
    <t>Produccion cosechada (2016)</t>
  </si>
  <si>
    <t>tMS/t</t>
  </si>
  <si>
    <t>referencia</t>
  </si>
  <si>
    <t>Residuos totales</t>
  </si>
  <si>
    <t>tMS/a</t>
  </si>
  <si>
    <t>Coeficiente de recuperacion de residuo (CRR)</t>
  </si>
  <si>
    <t>Residuos recuperables</t>
  </si>
  <si>
    <t>Residuos disponibles</t>
  </si>
  <si>
    <t>PCS</t>
  </si>
  <si>
    <t>GJ/tMS</t>
  </si>
  <si>
    <t>Energia primaria disponible</t>
  </si>
  <si>
    <t>GJ/a</t>
  </si>
  <si>
    <t>REMBIO</t>
  </si>
  <si>
    <t>Sandoval et al.</t>
  </si>
  <si>
    <t>PCS = 20 * (1-cenizas)</t>
  </si>
  <si>
    <t>Biomasa residual / produccion cosechada</t>
  </si>
  <si>
    <t>Factor de Disponibilidad</t>
  </si>
  <si>
    <t>Grupos de especies</t>
  </si>
  <si>
    <t>Unidades</t>
  </si>
  <si>
    <t xml:space="preserve">Volumen cosechado (2016) </t>
  </si>
  <si>
    <t xml:space="preserve">Densidad de la madera </t>
  </si>
  <si>
    <t>Producción (madera en rollo)</t>
  </si>
  <si>
    <t xml:space="preserve"> (tMS/a)</t>
  </si>
  <si>
    <t>coeficiente</t>
  </si>
  <si>
    <t>factor de disponibilidad</t>
  </si>
  <si>
    <t>Residuos Disponibles</t>
  </si>
  <si>
    <t>Otras coníferas</t>
  </si>
  <si>
    <t xml:space="preserve">Comunes Tropicales </t>
  </si>
  <si>
    <t>Otras latifoliadas</t>
  </si>
  <si>
    <t>Pinos</t>
  </si>
  <si>
    <t>Encinos</t>
  </si>
  <si>
    <t>TOTAL</t>
  </si>
  <si>
    <t xml:space="preserve">Factor de recuperacion  </t>
  </si>
  <si>
    <t>VC</t>
  </si>
  <si>
    <t>PE</t>
  </si>
  <si>
    <t>GRA</t>
  </si>
  <si>
    <t>Residuos de Aprovechamiento Recuperables</t>
  </si>
  <si>
    <t>RAR</t>
  </si>
  <si>
    <t>Factor de recuperacion</t>
  </si>
  <si>
    <t xml:space="preserve"> tMS/a</t>
  </si>
  <si>
    <t>tMS/m³</t>
  </si>
  <si>
    <t>m³</t>
  </si>
  <si>
    <r>
      <t>Generacion de Residuos en</t>
    </r>
    <r>
      <rPr>
        <b/>
        <sz val="10"/>
        <color rgb="FFF04E23"/>
        <rFont val="Verdana"/>
        <family val="2"/>
      </rPr>
      <t xml:space="preserve"> industrializacion</t>
    </r>
  </si>
  <si>
    <r>
      <t xml:space="preserve">Generacion de Residuos en </t>
    </r>
    <r>
      <rPr>
        <b/>
        <sz val="10"/>
        <color rgb="FFF04E23"/>
        <rFont val="Verdana"/>
        <family val="2"/>
      </rPr>
      <t xml:space="preserve">Aprovechamiento </t>
    </r>
  </si>
  <si>
    <r>
      <t>Residuos Aprovechables de</t>
    </r>
    <r>
      <rPr>
        <b/>
        <sz val="10"/>
        <color rgb="FFF04E23"/>
        <rFont val="Verdana"/>
        <family val="2"/>
      </rPr>
      <t xml:space="preserve"> Industrializacion</t>
    </r>
  </si>
  <si>
    <t>Residuos Potenciales Total</t>
  </si>
  <si>
    <t>GRI</t>
  </si>
  <si>
    <t>RAI</t>
  </si>
  <si>
    <t xml:space="preserve">CULTIVOS </t>
  </si>
  <si>
    <t xml:space="preserve">TABLA 3.  Potencial de residuos de cultivos para uso energético </t>
  </si>
  <si>
    <t>https://www.researchgate.net/publication/237079687_The_Handbook_of_Biomass_Combustion_and_Cofiring</t>
  </si>
  <si>
    <t>PCI ( MJ / kg) = PCS (1- humedad / 100)- 2.444 (humedad/100) -  2.444 * 8.936 * H (1-humedad / 100)</t>
  </si>
  <si>
    <t>PCS  (en base seca, MJ/kg) = 0.3491 C+ 1.1723 H + 0.1005 S - 0.0151 N - 0.1034 O - 0.0211 cenizas</t>
  </si>
  <si>
    <t>puede utilizar el valor de PCS exacto o el aproximado</t>
  </si>
  <si>
    <t>formula simplificada, requiere conocer solamente el contenido de humedad y de cenizas</t>
  </si>
  <si>
    <t xml:space="preserve">fórmula exacta, que requiere conocer el contenido de C,H,S,N, O y cenizas de la biomasa. </t>
  </si>
  <si>
    <t>PCS ( aproximado, en base húmeda, MJ/kg) ) = 20.0 * (1-humedad/100) * (1-cenizas/100)</t>
  </si>
  <si>
    <t>[xx]</t>
  </si>
  <si>
    <t>[yy]</t>
  </si>
  <si>
    <t>RPT</t>
  </si>
  <si>
    <t>fD</t>
  </si>
  <si>
    <t>RD</t>
  </si>
  <si>
    <t>Poder Calorifico Superior</t>
  </si>
  <si>
    <t>EPD</t>
  </si>
  <si>
    <t>Tabla 4. Potencial nacional de residuos forestales para uso energético</t>
  </si>
  <si>
    <r>
      <t xml:space="preserve">[15] </t>
    </r>
    <r>
      <rPr>
        <vertAlign val="superscript"/>
        <sz val="12"/>
        <color theme="1"/>
        <rFont val="Verdana"/>
        <family val="2"/>
      </rPr>
      <t>(1)</t>
    </r>
  </si>
  <si>
    <r>
      <t xml:space="preserve">[15] </t>
    </r>
    <r>
      <rPr>
        <vertAlign val="superscript"/>
        <sz val="12"/>
        <color theme="1"/>
        <rFont val="Verdana"/>
        <family val="2"/>
      </rPr>
      <t>(2)</t>
    </r>
  </si>
  <si>
    <t>(1) La media de "como recibido" (as received, ar por sus siglas en inglés) valores de las siguientes entradas: 345; 460; 476; 703; 703; 712; 713; 769; 945; 990; 991; 992; 1271; 1903; 1933; 1965; 2141; 3071; 3161; 3201; y 3202</t>
  </si>
  <si>
    <t>(2) Base de datos Phyllis: La media de "como recibido " (ar) valores de las siguientes entradas: 3166; y 1401</t>
  </si>
  <si>
    <t>(3) Base de datos Phyllis: "como recibido" (ar) valores de entrada 27990</t>
  </si>
  <si>
    <t>(4) Base de datos Phyllis: "como recibido" (ar) valores de entrada 2277</t>
  </si>
  <si>
    <r>
      <t xml:space="preserve">[15] </t>
    </r>
    <r>
      <rPr>
        <vertAlign val="superscript"/>
        <sz val="12"/>
        <color theme="1"/>
        <rFont val="Verdana"/>
        <family val="2"/>
      </rPr>
      <t>(3)</t>
    </r>
  </si>
  <si>
    <t>(5) Base de datos Phyllis: La media de "como recibido" (ar) valores de las siguientes entradas: 2131 y 2806</t>
  </si>
  <si>
    <r>
      <t xml:space="preserve">[15] </t>
    </r>
    <r>
      <rPr>
        <vertAlign val="superscript"/>
        <sz val="12"/>
        <color theme="1"/>
        <rFont val="Verdana"/>
        <family val="2"/>
      </rPr>
      <t>(4)</t>
    </r>
  </si>
  <si>
    <r>
      <t xml:space="preserve">[15] </t>
    </r>
    <r>
      <rPr>
        <vertAlign val="superscript"/>
        <sz val="12"/>
        <color theme="1"/>
        <rFont val="Verdana"/>
        <family val="2"/>
      </rPr>
      <t>(5)</t>
    </r>
  </si>
  <si>
    <t>[55]</t>
  </si>
  <si>
    <r>
      <rPr>
        <b/>
        <sz val="11"/>
        <color theme="1"/>
        <rFont val="Calibri"/>
        <family val="2"/>
        <scheme val="minor"/>
      </rPr>
      <t>Nota respecto a [55]:</t>
    </r>
    <r>
      <rPr>
        <sz val="11"/>
        <color theme="1"/>
        <rFont val="Calibri"/>
        <family val="2"/>
        <scheme val="minor"/>
      </rPr>
      <t xml:space="preserve"> El contenido de humedad es de entre 60 - 71%</t>
    </r>
  </si>
  <si>
    <t>Residual feedstock</t>
  </si>
  <si>
    <t>Production of crop (t) (2016)</t>
  </si>
  <si>
    <t>Reference</t>
  </si>
  <si>
    <t>Residue-to-production ratio</t>
  </si>
  <si>
    <t>Residual amount – theoretical (t/yr)</t>
  </si>
  <si>
    <t>LHV (GJ/t) at moisture content</t>
  </si>
  <si>
    <t>Gross biomass potential (TJ)</t>
  </si>
  <si>
    <t>Unused residual ratio</t>
  </si>
  <si>
    <t>Unused residual amount (t)</t>
  </si>
  <si>
    <t>Theoretical potential (TJ)</t>
  </si>
  <si>
    <t>B1</t>
  </si>
  <si>
    <t>[52]</t>
  </si>
  <si>
    <t>[54]</t>
  </si>
  <si>
    <t>[53]</t>
  </si>
  <si>
    <t>B2</t>
  </si>
  <si>
    <t>Sin unidades</t>
  </si>
  <si>
    <t>Factor de Disponibilidad
Referencia [54]</t>
  </si>
  <si>
    <t>B3</t>
  </si>
  <si>
    <t>Contenido de Ceniza
Referencia [54]</t>
  </si>
  <si>
    <t>B4</t>
  </si>
  <si>
    <t>PCS  (GJ/t) en el contenido de humedad
Referencia [54]</t>
  </si>
  <si>
    <t>TJ/a</t>
  </si>
  <si>
    <t>1. Coeficientes de recuperacion de residuo (CRR) y Factores de disponibilidad (FD): obtenidos de tres nuevas referencias: [52], [53], [54]
REMBIO realizo en 2018 una investigación de campo, para SENER, cuyo resultado no se ha publicado. Allí se midieron o estimaron los factores de recuperación de paja de caña de azúcar, trigo, maiz, cebada, y sorgo en ttres regiones del centro y occidente. Se encontró que son muy variables en la práctica. </t>
  </si>
  <si>
    <t>ECOFYS / SENER, Diagnóstico de la situación actual del biodiésel en México y escenarios para su aprovechamiento Informe Final (CONFIDENCIAL), 2016.  Ecofys por orden de: Banco Interamericano de Desarrollo para SENER. https://www.gob.mx/cms/uploads/attachment/file/275444/Final_Report.pdf</t>
  </si>
  <si>
    <t xml:space="preserve">Comité Nacional para el Desarrollo Sustentable de la Caña de Azúcar (CONADESUCA). Informe estadístico del sector agroindustrial de la caña de azúcar Zafras 2008/09 – 2014/15. Informe Completo
https://www.gob.mx/cms/uploads/attachment/file/283887/Informe_Estadistico_CONADESUCA_14-15_26diciembre.pdf </t>
  </si>
  <si>
    <t>REMBIO -comm. pers.</t>
  </si>
  <si>
    <r>
      <t xml:space="preserve">2. EL Poder Calorifico Superior (PCS) calculado para una composición elemental </t>
    </r>
    <r>
      <rPr>
        <sz val="11"/>
        <color rgb="FF000000"/>
        <rFont val="Calibri"/>
        <family val="2"/>
        <scheme val="minor"/>
      </rPr>
      <t>promedio </t>
    </r>
    <r>
      <rPr>
        <sz val="11"/>
        <color theme="1"/>
        <rFont val="Calibri"/>
        <family val="2"/>
        <scheme val="minor"/>
      </rPr>
      <t>de la biomasa: C 48%, H 6%, O 44%, con la fórmula de GHV indicada en Koppejan (Handbook of Biomass, ver [28]) para biomasa seca a estufa resulta = 20 MJ/kg. 
Para estimar en PCS en base húmeda hay que descontar lo que no es biomasa (la humedad y las cenizas). </t>
    </r>
  </si>
  <si>
    <t xml:space="preserve">3. A la ecuación del Handbook para calcular el NCV ( o Poder Calorifico Inferior, PCI) no la incluimos,  porque entendemos que la tabla de INECC pretende estimar la energía primaria bruta, y no la neta. 
De allí se desprende que: PCS ( aproximado, en base húmeda, en MJ/kg) ) = 20.0 * (1-humedad/100) * (1-cenizas/100) . Este es el producto  de una constante (poder calorifico superior básico o promedio) por dos variables (los contenidos de humedad y de cenizas). </t>
  </si>
  <si>
    <t>Notas:</t>
  </si>
  <si>
    <t>The Milne formula</t>
  </si>
  <si>
    <t>The determination of the calorific value normally results in a value for the HHV. For comparison, HHV is also calculated from the elemental composition using the Milne formula:</t>
  </si>
  <si>
    <t>where C, H, etc. are the mass and the ash fractions in wt% of dry material and HHV the heating value for dry material in MJ/kg. </t>
  </si>
  <si>
    <t>C</t>
  </si>
  <si>
    <t>H</t>
  </si>
  <si>
    <t>O</t>
  </si>
  <si>
    <t>N</t>
  </si>
  <si>
    <t>S</t>
  </si>
  <si>
    <t>Ash</t>
  </si>
  <si>
    <t>Fuente [28] base de datos Phyllis2 para Tabla 3
https://phyllis.nl/</t>
  </si>
  <si>
    <r>
      <t>HHV</t>
    </r>
    <r>
      <rPr>
        <vertAlign val="subscript"/>
        <sz val="11"/>
        <color rgb="FF000000"/>
        <rFont val="Calibri"/>
        <family val="2"/>
        <scheme val="minor"/>
      </rPr>
      <t>Milne</t>
    </r>
    <r>
      <rPr>
        <sz val="11"/>
        <color rgb="FF000000"/>
        <rFont val="Calibri"/>
        <family val="2"/>
        <scheme val="minor"/>
      </rPr>
      <t> = 0.341·C + 1.322·H - 0.12·O - 0.12·N + 0.0686·S - 0.0153·ash,</t>
    </r>
  </si>
  <si>
    <t>Ceniza</t>
  </si>
  <si>
    <t>Suma</t>
  </si>
  <si>
    <t>[1] Phyllis database: Mean of the "as received" (ar) values of the following entries: 3155 and 3156</t>
  </si>
  <si>
    <r>
      <t>(7)</t>
    </r>
    <r>
      <rPr>
        <sz val="11"/>
        <color theme="1"/>
        <rFont val="Calibri"/>
        <family val="2"/>
        <scheme val="minor"/>
      </rPr>
      <t xml:space="preserve"> Phyllis database: Mean of the "as received" (ar) values of the following entries: 3155 and 3156</t>
    </r>
  </si>
  <si>
    <t>17.9 at 6.31%[1]</t>
  </si>
  <si>
    <t>16.1 at 9.22%[2]</t>
  </si>
  <si>
    <t>16.1 at 9.22%</t>
  </si>
  <si>
    <t>17.9 at 6.31%</t>
  </si>
  <si>
    <t>16.7 at 11.2%[3]</t>
  </si>
  <si>
    <t>15.8 at 11.45%[4]</t>
  </si>
  <si>
    <t>15.8 at 11.45%</t>
  </si>
  <si>
    <t>16.7 at 11.2%</t>
  </si>
  <si>
    <t>17.3 at 7.8%[5]</t>
  </si>
  <si>
    <t>15.9 at 5.3%[6]</t>
  </si>
  <si>
    <t>15.9 at 5.3%</t>
  </si>
  <si>
    <t>17.3 at 7.8%</t>
  </si>
  <si>
    <t>16.7 at 11.2%[7]</t>
  </si>
  <si>
    <t>16.1 at 9.2%</t>
  </si>
  <si>
    <t>[2] Phyllis database: Mean of the "as received" (ar) values of the following entries: 106 - 111</t>
  </si>
  <si>
    <t>[3] Phyllis database: Mean of the "as received" (ar) values of the following entries: 136; 152; 3148; 3149; 3150; and 3160</t>
  </si>
  <si>
    <t>[4] Phyllis database: "as received" (ar) values of the entry 803</t>
  </si>
  <si>
    <t>[5] Phyllis database: Mean of the "as received" (ar) values of the following entries: 126; 127; 128; 129; 130; 131; 132; 133; 134; 135; 137; 138; 140; 141; 142; 143; 144; 148; 149; 154; 155; 156; 157; 773; and 1860</t>
  </si>
  <si>
    <t>[6] Phyllis database: "as received" values of entry 2148</t>
  </si>
  <si>
    <t>[7] Phyllis database: Mean of the "as received" (ar) values of the following entries: 136; 152; 3148; 3149; 3150; and 3160</t>
  </si>
  <si>
    <r>
      <t xml:space="preserve">en 6.31% </t>
    </r>
    <r>
      <rPr>
        <vertAlign val="superscript"/>
        <sz val="12"/>
        <color theme="1"/>
        <rFont val="Verdana"/>
        <family val="2"/>
      </rPr>
      <t>(7)</t>
    </r>
  </si>
  <si>
    <r>
      <t xml:space="preserve">en 9.22% </t>
    </r>
    <r>
      <rPr>
        <vertAlign val="superscript"/>
        <sz val="12"/>
        <color theme="1"/>
        <rFont val="Verdana"/>
        <family val="2"/>
      </rPr>
      <t>(8)</t>
    </r>
  </si>
  <si>
    <r>
      <t>(8)</t>
    </r>
    <r>
      <rPr>
        <sz val="11"/>
        <color theme="1"/>
        <rFont val="Calibri"/>
        <family val="2"/>
        <scheme val="minor"/>
      </rPr>
      <t xml:space="preserve"> Phyllis database: Mean of the "as received" (ar) values of the following entries: 106 - 111</t>
    </r>
  </si>
  <si>
    <t>en 9.22%</t>
  </si>
  <si>
    <t>en 6.31%</t>
  </si>
  <si>
    <t>en 42%</t>
  </si>
  <si>
    <t>PCI (GJ/t) astillas de residuos forestales con contenido de humedad</t>
  </si>
  <si>
    <t>PCI (GJ/t) aserrín en bosque con contenido de humedad</t>
  </si>
  <si>
    <t>PCI (GJ/t) astillas de residuos en aserradero con contenido de humedad</t>
  </si>
  <si>
    <t>PCI (GJ/t) aserrín en aserradero con contenido de humedad</t>
  </si>
  <si>
    <r>
      <t xml:space="preserve">en 11.2% </t>
    </r>
    <r>
      <rPr>
        <vertAlign val="superscript"/>
        <sz val="12"/>
        <color theme="1"/>
        <rFont val="Verdana"/>
        <family val="2"/>
      </rPr>
      <t>(9)</t>
    </r>
  </si>
  <si>
    <r>
      <t xml:space="preserve">en 11.45% </t>
    </r>
    <r>
      <rPr>
        <vertAlign val="superscript"/>
        <sz val="12"/>
        <color theme="1"/>
        <rFont val="Verdana"/>
        <family val="2"/>
      </rPr>
      <t>(10)</t>
    </r>
  </si>
  <si>
    <t>en 11.45%</t>
  </si>
  <si>
    <t>en 11.2%</t>
  </si>
  <si>
    <t>en 5.3%</t>
  </si>
  <si>
    <t>en 7.8%</t>
  </si>
  <si>
    <r>
      <t xml:space="preserve">en 7.8% </t>
    </r>
    <r>
      <rPr>
        <vertAlign val="superscript"/>
        <sz val="12"/>
        <color theme="1"/>
        <rFont val="Verdana"/>
        <family val="2"/>
      </rPr>
      <t>(11)</t>
    </r>
  </si>
  <si>
    <r>
      <t xml:space="preserve">en 5.3% </t>
    </r>
    <r>
      <rPr>
        <vertAlign val="superscript"/>
        <sz val="12"/>
        <color theme="1"/>
        <rFont val="Verdana"/>
        <family val="2"/>
      </rPr>
      <t>(12)</t>
    </r>
  </si>
  <si>
    <t>en 9.2%</t>
  </si>
  <si>
    <r>
      <t xml:space="preserve">en 11.2% </t>
    </r>
    <r>
      <rPr>
        <vertAlign val="superscript"/>
        <sz val="12"/>
        <color theme="1"/>
        <rFont val="Verdana"/>
        <family val="2"/>
      </rPr>
      <t>(13)</t>
    </r>
  </si>
  <si>
    <r>
      <t>(9)</t>
    </r>
    <r>
      <rPr>
        <sz val="11"/>
        <color theme="1"/>
        <rFont val="Calibri"/>
        <family val="2"/>
        <scheme val="minor"/>
      </rPr>
      <t>Phyllis database: Mean of the "as received" (ar) values of the following entries: 136; 152; 3148; 3149; 3150; and 3160</t>
    </r>
  </si>
  <si>
    <r>
      <t>(10)</t>
    </r>
    <r>
      <rPr>
        <sz val="11"/>
        <color theme="1"/>
        <rFont val="Calibri"/>
        <family val="2"/>
        <scheme val="minor"/>
      </rPr>
      <t xml:space="preserve"> Phyllis database: "as received" (ar) values of the entry 803</t>
    </r>
  </si>
  <si>
    <r>
      <t>(11)</t>
    </r>
    <r>
      <rPr>
        <sz val="11"/>
        <color theme="1"/>
        <rFont val="Calibri"/>
        <family val="2"/>
        <scheme val="minor"/>
      </rPr>
      <t xml:space="preserve"> Phyllis database: Mean of the "as received" (ar) values of the following entries: 126; 127; 128; 129; 130; 131; 132; 133; 134; 135; 137; 138; 140; 141; 142; 143; 144; 148; 149; 154; 155; 156; 157; 773; and 1860</t>
    </r>
  </si>
  <si>
    <r>
      <t>(12)</t>
    </r>
    <r>
      <rPr>
        <sz val="11"/>
        <color theme="1"/>
        <rFont val="Calibri"/>
        <family val="2"/>
        <scheme val="minor"/>
      </rPr>
      <t>Phyllis database: "as received" values of entry 2148</t>
    </r>
  </si>
  <si>
    <r>
      <t>(13)</t>
    </r>
    <r>
      <rPr>
        <sz val="11"/>
        <color theme="1"/>
        <rFont val="Calibri"/>
        <family val="2"/>
        <scheme val="minor"/>
      </rPr>
      <t xml:space="preserve"> Phyllis database: Mean of the "as received" (ar) values of the following entries: 136; 152; 3148; 3149; 3150; and 3160</t>
    </r>
  </si>
  <si>
    <r>
      <t>(14)</t>
    </r>
    <r>
      <rPr>
        <sz val="11"/>
        <color theme="1"/>
        <rFont val="Calibri"/>
        <family val="2"/>
        <scheme val="minor"/>
      </rPr>
      <t xml:space="preserve"> All tropical forest LHV values assumed to be the same as oak values.</t>
    </r>
  </si>
  <si>
    <r>
      <t xml:space="preserve">(15) </t>
    </r>
    <r>
      <rPr>
        <sz val="11"/>
        <color theme="1"/>
        <rFont val="Calibri"/>
        <family val="2"/>
        <scheme val="minor"/>
      </rPr>
      <t>All broadleaf forest LHV values assumed to be the same as pine values.</t>
    </r>
  </si>
  <si>
    <r>
      <t>(16)</t>
    </r>
    <r>
      <rPr>
        <sz val="11"/>
        <color theme="1"/>
        <rFont val="Calibri"/>
        <family val="2"/>
        <scheme val="minor"/>
      </rPr>
      <t xml:space="preserve"> All oyamel forest LHV values assumed to be the same as pine values.</t>
    </r>
  </si>
  <si>
    <r>
      <t xml:space="preserve">(17) </t>
    </r>
    <r>
      <rPr>
        <sz val="11"/>
        <color theme="1"/>
        <rFont val="Calibri"/>
        <family val="2"/>
        <scheme val="minor"/>
      </rPr>
      <t>All other coniferous forest LHV values assumed to be the same as pine values.</t>
    </r>
  </si>
  <si>
    <r>
      <t>(18)</t>
    </r>
    <r>
      <rPr>
        <sz val="11"/>
        <color theme="1"/>
        <rFont val="Calibri"/>
        <family val="2"/>
        <scheme val="minor"/>
      </rPr>
      <t xml:space="preserve"> All precious forest LHV values assumed to be the same as oak values.</t>
    </r>
  </si>
  <si>
    <r>
      <t xml:space="preserve">[15] </t>
    </r>
    <r>
      <rPr>
        <vertAlign val="superscript"/>
        <sz val="12"/>
        <color theme="1"/>
        <rFont val="Verdana"/>
        <family val="2"/>
      </rPr>
      <t>(18)</t>
    </r>
  </si>
  <si>
    <r>
      <t xml:space="preserve">[15] </t>
    </r>
    <r>
      <rPr>
        <vertAlign val="superscript"/>
        <sz val="12"/>
        <color theme="1"/>
        <rFont val="Verdana"/>
        <family val="2"/>
      </rPr>
      <t>(17)</t>
    </r>
  </si>
  <si>
    <r>
      <t xml:space="preserve">[15] </t>
    </r>
    <r>
      <rPr>
        <vertAlign val="superscript"/>
        <sz val="12"/>
        <color theme="1"/>
        <rFont val="Verdana"/>
        <family val="2"/>
      </rPr>
      <t>(16)</t>
    </r>
  </si>
  <si>
    <r>
      <t xml:space="preserve">[15] </t>
    </r>
    <r>
      <rPr>
        <vertAlign val="superscript"/>
        <sz val="12"/>
        <color theme="1"/>
        <rFont val="Verdana"/>
        <family val="2"/>
      </rPr>
      <t>(15)</t>
    </r>
  </si>
  <si>
    <r>
      <t xml:space="preserve">[15] </t>
    </r>
    <r>
      <rPr>
        <vertAlign val="superscript"/>
        <sz val="12"/>
        <color theme="1"/>
        <rFont val="Verdana"/>
        <family val="2"/>
      </rPr>
      <t>(14)</t>
    </r>
  </si>
  <si>
    <t xml:space="preserve">Notas: Fuente [28] base de datos Phyllis2 </t>
  </si>
  <si>
    <t>Tasa de residuos/producción</t>
  </si>
  <si>
    <t>PCI (GJ/t) en el contenido de humedad (%)</t>
  </si>
  <si>
    <t>tasa de residuos no utilizados</t>
  </si>
  <si>
    <t>Sener, “Balance Nacional de Energía 2017,” SENER, Mexico City, MX, 2018. https://www.gob.mx/cms/uploads/attachment/file/414843/Balance_Nacional_de_Energ_a_2017.pdf</t>
  </si>
  <si>
    <t>[2]</t>
  </si>
  <si>
    <t>A. Martinez, I. Ramírez and C. Suárez, “Evaluación del Potencial de la Bioasa Como Parte de la Matriz Energética de México,” CINAM, Naucalpan de Juárez, MX, 2017.</t>
  </si>
  <si>
    <t>COWI, “Biomass roadmap for Mexico: Assessment of potential,” Lyngby, DK, 2017.</t>
  </si>
  <si>
    <t>[4]</t>
  </si>
  <si>
    <t>Sener, “Prospectiva de Energías Renovables 2018-2032,” Sener, 2018.</t>
  </si>
  <si>
    <t>SIAP, “Atlas Agroalimentario 2017,” SIAP, Mexico City, MX, 2017.</t>
  </si>
  <si>
    <t>Consejo Regulador del Tequila, “Información Estadística,” 2018. [Online]. Available: https://www.crt.org.mx/EstadisticasCRTweb/. [Accessed 06 November 2018].</t>
  </si>
  <si>
    <t>[7]</t>
  </si>
  <si>
    <t>Mezcal Consejo Regulator, “Informe estadístico 2017,” 2017. [Online]. Available: http://www.crm.org.mx/PDF/INF_ACTIVIDADES/INFORME2017.pdf. [Accessed 6 November 2018].</t>
  </si>
  <si>
    <t>[8]</t>
  </si>
  <si>
    <t>M. Jiménez Vizcarra, “El rendimiento del mezcal,” Museo Claudio Jiménez Vizcarra, El Arenal, MX, 2017.</t>
  </si>
  <si>
    <t>[9]</t>
  </si>
  <si>
    <t>B. Cárcamo Rico and G. Noriega Altamirano, “Producción artesanal y tradicional de mezcal,” UNAM, 2009.</t>
  </si>
  <si>
    <t>[10]</t>
  </si>
  <si>
    <t>F. Palma, P. Pérez and V. Meza, “Diagnóstico de la Cadena de Valor Mezcal en las Regiones de Oaxaca,” Gobierno del Estado de Oaxaca, Oaxaca de Juárez, MX, 2016.</t>
  </si>
  <si>
    <t>Sagarpa, “Planeación agrícola nacional 2017-2030 Agave Tequilero y Mezcalero Mexicano,” Sagarpa, Mexico City, MX, 2017.</t>
  </si>
  <si>
    <t>Sagarpa, “Rastrojos Manejo, uso y mercado en el centro y sur de México,” Sagarpa, Mexico City, MX, 2013.</t>
  </si>
  <si>
    <t>Sagarpa, “Reducción del Consumo de Petróleo y generación de energía eléctrica en los ingenios,” Sagarpa, Mexico City, MX, 2016.</t>
  </si>
  <si>
    <t>INEGI, “Análisis a nivel nacional de la producción de caña de azúcar,” INEGI, Aguacalientes, MX, 1998.</t>
  </si>
  <si>
    <t>ECN, “Phyllis2 Database for biomass and waste,” 2018. [Online]. Available: https://phyllis.nl/. [Accessed 6 2018 November].</t>
  </si>
  <si>
    <t>[16]</t>
  </si>
  <si>
    <t>V. Dhyani, A. Awasthi, J. Kumar and T. Bhaskar, “Pyrolysis of Sorghum straw: Effect of temperature and reaction environment on the product behavior,” Journal of Energy and Environmental Sustainability, vol. 4, pp. 64-69, 2017.</t>
  </si>
  <si>
    <t>[17]</t>
  </si>
  <si>
    <t>El Siglo de Torreón, “Producen biocombustible con desechos de agave,” El Siglo de Torreón, 22 January 2012.</t>
  </si>
  <si>
    <t>M. Rodrigues, “Resultado de las Pruebas con Briquetas de Biomasa de Agave,” 20 September 2010. [Online]. Available: https://carbondiversionamericalatina.files.wordpress.com/2011/11/resultado-laboratorio-briquetas-tce-espac3b1ol.pdf. [Accessed 6 November 2018].</t>
  </si>
  <si>
    <t>[19]</t>
  </si>
  <si>
    <t>Semarnat, “Anuario Estadístico de la Producción Forestal 2016,” Semarnat, Coyoacán, MX, 2016.</t>
  </si>
  <si>
    <t>[20]</t>
  </si>
  <si>
    <t>J. Ordóñez Díaz, A. Galicia Naranjo, N. Venegas Mancera, T. Hernández Tejeda, M. Ordóñez Díaz and R. Dávalos-Sotelo, “Densidad de las maderas mexicanas por tipo de vegetación con base en la clasificación de J. Rzedowski: compilación,” Madera y Bosques, vol. 21, no. especial, pp. 77-126, 2015.</t>
  </si>
  <si>
    <t>[21]</t>
  </si>
  <si>
    <t>ISOGIS Corp; The Pembina Institute; Instituto Tecnológico de El Salto; The Carbon Basis Company Ltd, “Evaluación de la Madera, la Biomasa y el Carbono de Bosques y las Tecnologías Potenciales de Producción de Energía a Partir de Biomasa en Durango, México,” CONFAOR, 2010.</t>
  </si>
  <si>
    <t>COMECARNE, “Compendios Estadísticos,” 2018. [Online]. Available: https://comecarne.org/estadisticas/  [Accessed 13 November 2018].</t>
  </si>
  <si>
    <t>[23]</t>
  </si>
  <si>
    <t>Sagarpa; SIAP, “Población ganadera, Bovino de leche,” 27 May 2016. [Online]. Available: https://www.gob.mx/cms/uploads/attachment/file/165998/bovlech.pdf [Accessed 13 November 2018].</t>
  </si>
  <si>
    <t>M. Estrada Pareja, “Manejo y procesamiento de la gallinaza,” Revista Lasallista de investigación, vol. 2, no. 1, pp. 43-48, 2005.</t>
  </si>
  <si>
    <t>U. Figueroa-Viramontes, G. Núñez-Hernández, J. Delgado, J. Cueto-Wong and J. Flores-Margez, “Estimación de la producción de estiércol y de la excreción de nitrógeno, fósforo y,” in Agricultura orgánica 2nd ed., vol. 2, Gómez Palacio, MX, FAZ-UJED, 2009, pp. 128-154.</t>
  </si>
  <si>
    <t>G. Dominguez-Araujo, A. Galindo-Barboza, B.-C. G. Salazar-Gutiérrez and F. Sanchez-Garcia, “Las excretas porcinas como materia prima para procesos de reciclaje utilizados en actividades agropecuarias,” in Folleto Técnico Núm. 6, Tepatitlán de Morelos, MX, Campo Experimental Centro-Altos de Jalisco, 2014, p. 46p.</t>
  </si>
  <si>
    <t>N. Valencia, “Manejo de residuos en las agroindustria cafetera,” n.d.. [Online]. Available: http://www.bvsde.paho.org/bvsacd/acodal/xxx.pdf [Accessed 6 November 2018].</t>
  </si>
  <si>
    <t>[28]</t>
  </si>
  <si>
    <t>S. Loo and J. Koppejan, Handbook of Biomass Combustion &amp; Co-firing, 2008.</t>
  </si>
  <si>
    <t>[29]</t>
  </si>
  <si>
    <t>“www.justsen.dk,” Justsen Energiteknik A/S: Case and illustrations. [Online]. [Accessed 2016].</t>
  </si>
  <si>
    <t>[30]</t>
  </si>
  <si>
    <t>Siemens AG, 2016.</t>
  </si>
  <si>
    <t>[31]</t>
  </si>
  <si>
    <t>Turboden, Interview and Illustrations, www.turboden.eu, 2016.</t>
  </si>
  <si>
    <t>[32]</t>
  </si>
  <si>
    <t>Exergy, Illustrations, 2016.</t>
  </si>
  <si>
    <t>[33]</t>
  </si>
  <si>
    <t>Wikipedia, “Electrostatic precipitator,” 22 December 2016. [Online]. Available: https://en.wikipedia.org/wiki/Electrostatic_precipitator. [Accessed January 2017].</t>
  </si>
  <si>
    <t>[34]</t>
  </si>
  <si>
    <t>Jenbacher, “GE’s Jenbacher Gas Engines,” Clarke Energy, [Online]. Available: https://www.clarke-energy.com/gas-engines/ [Accessed January 2017].</t>
  </si>
  <si>
    <t>[35]</t>
  </si>
  <si>
    <t>K. Craig and M. Mann, “Cost and Performance Analy- sis of Biomass-Based Integrated Gasification Combined-Cycle (BIGCC) Power Systems,” NREL, 1996.</t>
  </si>
  <si>
    <t>[36]</t>
  </si>
  <si>
    <t>COWI.</t>
  </si>
  <si>
    <t>[37]</t>
  </si>
  <si>
    <t>“www.izes.de,” 2016. [Online].</t>
  </si>
  <si>
    <t>[38]</t>
  </si>
  <si>
    <t>IRENA, “Renewable Power Generation Costs in 2014,” 2015.</t>
  </si>
  <si>
    <t>[39]</t>
  </si>
  <si>
    <t>C. Glenting and N. Jakobsen, “Converting Biomass to Energy: A guide for Developers and Investors,” [IFC] International Finance Corporation, Washington, US, 2017.</t>
  </si>
  <si>
    <t>[40]</t>
  </si>
  <si>
    <t>Wikipedia, “Cyclonic Separation,” 28 October 2016. [Online]. Available: https://en.wikipedia.org/wiki/Cyclonic_separation.  [Accessed January 2017].</t>
  </si>
  <si>
    <t>[41]</t>
  </si>
  <si>
    <t>Wikipedia, “Venturi Scrubber,” 6 June 2016. [Online]. Available: https://en.wikipedia.org/wiki/Venturi_scrubber [Accessed January 2017].</t>
  </si>
  <si>
    <t>[42]</t>
  </si>
  <si>
    <t>[43]</t>
  </si>
  <si>
    <t>Emis, Fabric filter, http://emis.vito.be/en/techniekfiche/fabric-filter, 2016.</t>
  </si>
  <si>
    <t>[44]</t>
  </si>
  <si>
    <t>[45]</t>
  </si>
  <si>
    <t xml:space="preserve">Sagarpa, SIAP, “Porcino, Población ganadera 2006 - 2015,” 27 May 2016. [Online]. Available: https://www.gob.mx/cms/uploads/attachment/file/166003/porcino.pdf [Accessed 13 November 2018] </t>
  </si>
  <si>
    <t>[46]</t>
  </si>
  <si>
    <t>José A. Castelló, “¿Cuánta gallinaza producen las granjas de pollos?,” SELECCIONES AVICOLAS Nº710, sección de Alojamientos, Produccion de Carne, February 2018.</t>
  </si>
  <si>
    <t>[47]</t>
  </si>
  <si>
    <t>American Society of Agricultural Engineers (ASAE), “Manure Production and Characteristics,” ASAE, St. Joseph, US, 2003.</t>
  </si>
  <si>
    <t>[48]</t>
  </si>
  <si>
    <t>Consejo Regulador del Tequila, “Producción Total: Tequila 100% y Tequila,” 2018. [Online]. Available: https://www.crt.org.mx/EstadisticasCRTweb/ [Accessed 28 November 2018].</t>
  </si>
  <si>
    <t>[49]</t>
  </si>
  <si>
    <t>[50]</t>
  </si>
  <si>
    <t>[51]</t>
  </si>
  <si>
    <t>Salgado-García, S.; Aranda-Ibañez, E.; Castelán-Estrada, M.; Ortiz-Laurel, H.; Palma-López, D. y Córdova-Sánchez, S. Qué hacer con la paja de la cosecha mecanizada de la caña de azúcar. Agro Productividad. ISSN-0188-7394. Colegio de Posgraduados. Año 7, Volumen 7, Número 2, marzo-abril, 2014. http://revista-agroproductividad.org/index.php/agroproductividad/article/view/506/386</t>
  </si>
  <si>
    <t>Datos de REMBIO Comunicación personal.</t>
  </si>
  <si>
    <t xml:space="preserve">Juan Gallardo Valdez, Industria del tequila y generación de residuos. Ciencia y Desarrollo, CONACYT, Sep-oct. 2017. No. 291. http://www.cyd.conacyt.gob.mx/?p=articulo&amp;id=287 </t>
  </si>
  <si>
    <t>[56]</t>
  </si>
  <si>
    <t>Danish Energy Agency, Instituto de Ingenieria de la UNAM (II-UNAM), Instituto Potosino de Investigacion, Ciencia y Tecnologia (IPICYT), IBTech. Feedstock database for biogás in Mexico. 2019. No publicado.</t>
  </si>
  <si>
    <t xml:space="preserve">Ecoprog. [Online]. [Accessed 2015]. https://www.ecoprog.com/index.htm </t>
  </si>
  <si>
    <t xml:space="preserve">R. Saidur, E.A. Abdelaziz, A. Demirbas, M.S. Hossain, S. Mekhilef “A review on biomass as a fuel for boilers” in “Renewable and sustrainable energy reviews”, Vol. 15, Issue 5. pp. 2262-2289. https://www.sciencedirect.com/journal/renewable-and-sustainable-energy-reviews/vol/15/issue/5 </t>
  </si>
  <si>
    <t>Referencias</t>
  </si>
  <si>
    <t>INEGI, “Encuesta Nacional Agropecuaria 2017, Existencias de ganado porcino por función zootécnica,” 2017. [Online]. Available: Cuadro ena17_cría08 Existencias de ganado porcino por función zootécnica Datos del 30 de septiembre de 2017.
http://www.beta.inegi.org.mx/programas/ena/2017/  [Accessed 29 November 2018]</t>
  </si>
  <si>
    <t xml:space="preserve">M. del Pilar Castañeda Serrano, D. Braña Varela and W. Martínez Valdés, “Carne de Pollo Mexicana,” Facultad de Medicina Veterinaria y Zootecnia UNAM, Ajuchitlán, MX, 2013. http://www.anetif.org/files/pages/0000000034/15-carne-de-pollo-mexicana.pdf </t>
  </si>
  <si>
    <t xml:space="preserve">Comité Nacional para el Desarrollo Sustentable de la Caña de Azúcar (CONADESUCA). Informe estadístico del sector agroindustrial de la caña de azúcar Zafras 2008/09 – 2014/15. Informe Completo. https://www.gob.mx/cms/uploads/attachment/file/283887/Informe_Estadistico_CONADESUCA_14-15_26diciembre.pdf </t>
  </si>
  <si>
    <t>Potencial de biomasa bruto (TJ/año)</t>
  </si>
  <si>
    <t>Potencial teórico combustion (TJ/año)</t>
  </si>
  <si>
    <r>
      <rPr>
        <sz val="12"/>
        <color theme="1"/>
        <rFont val="Verdana"/>
        <family val="2"/>
      </rPr>
      <t xml:space="preserve">[3] </t>
    </r>
    <r>
      <rPr>
        <vertAlign val="superscript"/>
        <sz val="12"/>
        <color theme="1"/>
        <rFont val="Verdana"/>
        <family val="2"/>
      </rPr>
      <t>(*)</t>
    </r>
  </si>
  <si>
    <t>(*): se refiere a la  proporcion que queda como residuo no utilizado del bagazo que se genera teoricamente</t>
  </si>
  <si>
    <r>
      <rPr>
        <b/>
        <sz val="11"/>
        <color theme="1"/>
        <rFont val="Calibri"/>
        <family val="2"/>
        <scheme val="minor"/>
      </rPr>
      <t>Nota respecto a [13]:</t>
    </r>
    <r>
      <rPr>
        <sz val="11"/>
        <color theme="1"/>
        <rFont val="Calibri"/>
        <family val="2"/>
        <scheme val="minor"/>
      </rPr>
      <t xml:space="preserve"> El potencial de biomasa en el sector azucarero es considerable si se toma en cuenta que por cada 100 toneladas de caña procesada se obtienen: de 10 a 12 toneladas de azúcar; de 25 a 30 de bagazo; quedan en campo de 10 a 20 toneladas de residuos agrícolas y de 5 a 7 toneladas de paja (Nota: aqui referido como puntas y hojas)  (Morales R. 2013).</t>
    </r>
  </si>
  <si>
    <t>FOREST RESIDUAL</t>
  </si>
  <si>
    <t>Species/ residual feedstock</t>
  </si>
  <si>
    <t>Production volume (2016) (m³)</t>
  </si>
  <si>
    <t>Wood density (t/m³)</t>
  </si>
  <si>
    <t>Production (roundwood) (t)</t>
  </si>
  <si>
    <t>Total quantity (roundwood+ residues) (t)[1]</t>
  </si>
  <si>
    <t>Residues from forest harvest</t>
  </si>
  <si>
    <t>Residues at sawmill</t>
  </si>
  <si>
    <t>Gross potential of residues from forest harvest (t)</t>
  </si>
  <si>
    <t>Gross potential of residues in sawmill (t)</t>
  </si>
  <si>
    <t>Total gross potential of forest residues (t)</t>
  </si>
  <si>
    <t>Unused and recoverable ratio forest – twigs, branches, chips</t>
  </si>
  <si>
    <t>Unused and recoverable ratio forest – sawdust</t>
  </si>
  <si>
    <t>Unused and recoverable ratio sawmill – cut-offs, chips</t>
  </si>
  <si>
    <t>Unused and recoverable ratio sawmill - sawdust</t>
  </si>
  <si>
    <t>Ratio of forest harvest as branches, twigs (chips)</t>
  </si>
  <si>
    <t>Ratio of forest harvest as sawdust</t>
  </si>
  <si>
    <t>Ratio of sawmill residues as cut-offs, discards (chips)</t>
  </si>
  <si>
    <t>Ratio of sawmill residues as sawdust</t>
  </si>
  <si>
    <t>Technical potential residues forest – branches, twigs (chips) (t)</t>
  </si>
  <si>
    <t>Technical potential residues forest – sawdust (t)</t>
  </si>
  <si>
    <t>Technical potential residues in sawmill as cut-offs (chips) (t)</t>
  </si>
  <si>
    <t>Technical potential residues in sawmill as sawdust (t)</t>
  </si>
  <si>
    <t>Total quantity of recoverable residues (t)</t>
  </si>
  <si>
    <t xml:space="preserve">LHV (GJ/t) forest residue chips at moisture content </t>
  </si>
  <si>
    <t>LHV (GJ/t) sawdust in forest at moisture content</t>
  </si>
  <si>
    <t xml:space="preserve">LHV (GJ/t) chips residues in sawmill at moisture content </t>
  </si>
  <si>
    <t xml:space="preserve">LHV (GJ/t) sawdust in sawmill at moisture content </t>
  </si>
  <si>
    <t>[1] Assuming a residue-to-production ratio of 0.4.</t>
  </si>
  <si>
    <t>Theoretical Potential from forest harvest residues (GJ)</t>
  </si>
  <si>
    <t>Theoretical Potential from forest sawmill residues (GJ)</t>
  </si>
  <si>
    <t>Theoretical Potential (TJ)</t>
  </si>
  <si>
    <t>Mr = VC*PE</t>
  </si>
  <si>
    <t>RAR = Mr*GRA*FR1</t>
  </si>
  <si>
    <t>RAI = Mr *GRI*FR2</t>
  </si>
  <si>
    <t>PCS = PCSo *(1-Cs)</t>
  </si>
  <si>
    <t>RPT =RAR+RAI</t>
  </si>
  <si>
    <t>RD = RA*fD</t>
  </si>
  <si>
    <t>FR1</t>
  </si>
  <si>
    <t>FR2</t>
  </si>
  <si>
    <t>EPD = RD*PCS</t>
  </si>
  <si>
    <t xml:space="preserve">Nota: los valores de los coeficientes de generacion, recuperacion y disponibilidad  son estimaciones o promedios nacionales, obtenidos de distintos estudios de campo de REMBIO y otras fuentes. 
Como estos coeficientes son muy variables según el recurso forestal, la tecnologia, y la empresa, se recomienda estudiar a campo sus valores para cada proyecto en particular </t>
  </si>
  <si>
    <t>EPD/1000</t>
  </si>
  <si>
    <t>Suma (pino, encino, Árboles tropicales ordinarios, Otros árboles de hoja ancha, Oyamel, Otros árboles coníferos, Especies preciosas)</t>
  </si>
  <si>
    <t>RT</t>
  </si>
  <si>
    <t>RR</t>
  </si>
  <si>
    <t>RT= A * B1</t>
  </si>
  <si>
    <t>RD= RR * B3</t>
  </si>
  <si>
    <t>RR = RT* B2</t>
  </si>
  <si>
    <t>PCI = D * (1 - B4)</t>
  </si>
  <si>
    <t>PCI</t>
  </si>
  <si>
    <t>PCI = 20 * (1-cenizas)</t>
  </si>
  <si>
    <t>EPD= PCI*RD</t>
  </si>
  <si>
    <t>WET AGRICULTURAL RESIDUES</t>
  </si>
  <si>
    <t>Population units (heads) (2016)</t>
  </si>
  <si>
    <t>Residual production per production cycle (t/head) - theoretical</t>
  </si>
  <si>
    <t>Residual amount – theoretical (t)</t>
  </si>
  <si>
    <t>Biogas potential (GJ/t)</t>
  </si>
  <si>
    <t>Gross biogas potential (TJ) (range)</t>
  </si>
  <si>
    <t>Unused residual amount – technical (t)</t>
  </si>
  <si>
    <t>Theoretical Biogas potential (TJ) (range)</t>
  </si>
  <si>
    <t>Theoretical Biogas potential (TJ) (mean)</t>
  </si>
  <si>
    <t>[23] (año 2015)</t>
  </si>
  <si>
    <t>Tasa de residuos no utilizados</t>
  </si>
  <si>
    <t>PT=B*Emin
PT=B*Emax</t>
  </si>
  <si>
    <t>PTmin=B*Emin</t>
  </si>
  <si>
    <t>PTmax=B*Emax</t>
  </si>
  <si>
    <t>F1min= Emin*CR</t>
  </si>
  <si>
    <t>F1max= Emax*CR</t>
  </si>
  <si>
    <t>F1min= Emin*CR
F1max= Emax*CR</t>
  </si>
  <si>
    <t>F1media = Emedia*CR</t>
  </si>
  <si>
    <t>Combustión
REMBIO</t>
  </si>
  <si>
    <t>Combustión
COWI</t>
  </si>
  <si>
    <t>Tabla 3 REMBIO</t>
  </si>
  <si>
    <t>Tabla 4 REMBIO</t>
  </si>
  <si>
    <t>Tabla 8. Tabla de resumen de potencial de bioenergía en todos los sectores (en TJ/año).</t>
  </si>
  <si>
    <t>Potencial bruto de biogás (TJ) (rango - inferior)</t>
  </si>
  <si>
    <t>Potencial bruto de biogás (TJ) (rango -superior)</t>
  </si>
  <si>
    <t>Potencial bruto de biogás (MJ) (rango - inferior)</t>
  </si>
  <si>
    <t>Potencial bruto de biogás (MJ) (rango -superior)</t>
  </si>
  <si>
    <t>Factor de emision de biogas (tCO2/TJ)</t>
  </si>
  <si>
    <t>Ton CO2 - rango inferior</t>
  </si>
  <si>
    <t>Ton CO2 - rango superior</t>
  </si>
  <si>
    <t>MT CO2 - rango inferior</t>
  </si>
  <si>
    <t>MT CO2 - rango superior</t>
  </si>
  <si>
    <t>C1 =TS1*FSV1</t>
  </si>
  <si>
    <t>TS1</t>
  </si>
  <si>
    <t>TS2</t>
  </si>
  <si>
    <t>FVS1</t>
  </si>
  <si>
    <t>FVS2</t>
  </si>
  <si>
    <t>C2 =TS1*FSV2</t>
  </si>
  <si>
    <t>C3=TS2*FSV1</t>
  </si>
  <si>
    <t>C4 =TS2*FSV2</t>
  </si>
  <si>
    <t>D1=P1*C1</t>
  </si>
  <si>
    <t>D2=P1*C2</t>
  </si>
  <si>
    <t>D3=P1*C3</t>
  </si>
  <si>
    <t>D4=P1*C4</t>
  </si>
  <si>
    <t>D5=P2*C1</t>
  </si>
  <si>
    <t>D6=P2*C2</t>
  </si>
  <si>
    <t>D7=P2*C3</t>
  </si>
  <si>
    <t>D8=P2*C4</t>
  </si>
  <si>
    <t>PT1=B*D1</t>
  </si>
  <si>
    <t>PT2=B*D8</t>
  </si>
  <si>
    <t>Potencial teórico del biogás (TJ) (rango inferior)</t>
  </si>
  <si>
    <t>Potencial teórico del biogás (TJ) (rango superior)</t>
  </si>
  <si>
    <t>PT3=CR1*D1</t>
  </si>
  <si>
    <t>PT4=CR1*D2</t>
  </si>
  <si>
    <t>Suma en TJ (estiercol aves de corral, ganado lechero, ganado porcino) rango inferior</t>
  </si>
  <si>
    <t>Suma en TJ (estiercol aves de corral, ganado lechero, ganado porcino) rango superior</t>
  </si>
  <si>
    <t>Contenido de materia seca TS (%) -Límite inferior</t>
  </si>
  <si>
    <t>Contenido de materia seca TS (%) - Límite superior</t>
  </si>
  <si>
    <t>Fraccion de solidos volatiles (VS/TS) - Límite inferior</t>
  </si>
  <si>
    <t>Fraccion de solidos volatiles (VS/TS) - Límite superior</t>
  </si>
  <si>
    <t>Potencial de generacion de metano (GJ/T VS) - Límite inferior</t>
  </si>
  <si>
    <t>Potencial de generacion de metano (GJ/T VS) - Límite superior</t>
  </si>
  <si>
    <t>Cantidad de VS por tonelada de materia seca (VS) - Límite inferior</t>
  </si>
  <si>
    <t>Cantidad de VS por tonelada de materia seca (VS) - Límite superior</t>
  </si>
  <si>
    <t>Potencial de biogas por tonelada (GJ/ton) - Límite inferior</t>
  </si>
  <si>
    <t>Potencial de biogas por tonelada (GJ/ton) - Límite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</si>
</sst>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0.0%"/>
    <numFmt numFmtId="168" formatCode="0.00000"/>
    <numFmt numFmtId="173" formatCode="#,##0.0000"/>
    <numFmt numFmtId="177" formatCode="0.0000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rgb="FFF04E23"/>
      <name val="Verdana"/>
      <family val="2"/>
    </font>
    <font>
      <b/>
      <sz val="9"/>
      <color rgb="FFF04E23"/>
      <name val="Verdana"/>
      <family val="2"/>
    </font>
    <font>
      <sz val="10"/>
      <color rgb="FFF04E23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10"/>
      <color rgb="FFF04E23"/>
      <name val="Verdana"/>
      <family val="2"/>
    </font>
    <font>
      <b/>
      <sz val="11"/>
      <color rgb="FFF04E23"/>
      <name val="Verdana"/>
      <family val="2"/>
    </font>
    <font>
      <vertAlign val="subscript"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Times New Roman"/>
      <family val="1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04E23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Verdana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2"/>
      <color theme="1"/>
      <name val="Verdana"/>
      <family val="2"/>
    </font>
    <font>
      <sz val="8"/>
      <color rgb="FFF04E23"/>
      <name val="Verdana"/>
      <family val="2"/>
    </font>
    <font>
      <b/>
      <sz val="8"/>
      <color rgb="FFF04E23"/>
      <name val="Verdana"/>
      <family val="2"/>
    </font>
    <font>
      <sz val="11"/>
      <color rgb="FF000000"/>
      <name val="Calibri"/>
      <family val="2"/>
      <scheme val="minor"/>
    </font>
    <font>
      <sz val="11"/>
      <color theme="1"/>
      <name val="Bookman Old Style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color rgb="FFF04E23"/>
      <name val="Verdana"/>
      <family val="2"/>
    </font>
    <font>
      <sz val="8"/>
      <color rgb="FFC00000"/>
      <name val="Verdana"/>
      <family val="2"/>
    </font>
    <font>
      <b/>
      <sz val="8"/>
      <color rgb="FFC00000"/>
      <name val="Verdana"/>
      <family val="2"/>
    </font>
    <font>
      <sz val="8.5"/>
      <color rgb="FF000000"/>
      <name val="Trebuchet MS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30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1" applyAlignment="1">
      <alignment vertical="center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 applyBorder="1"/>
    <xf numFmtId="0" fontId="0" fillId="0" borderId="0" xfId="0" applyAlignment="1">
      <alignment vertical="top"/>
    </xf>
    <xf numFmtId="165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165" fontId="0" fillId="0" borderId="0" xfId="0" applyNumberFormat="1"/>
    <xf numFmtId="0" fontId="18" fillId="0" borderId="1" xfId="0" applyFont="1" applyBorder="1" applyAlignment="1">
      <alignment vertical="top"/>
    </xf>
    <xf numFmtId="0" fontId="18" fillId="0" borderId="1" xfId="0" applyFont="1" applyBorder="1"/>
    <xf numFmtId="0" fontId="2" fillId="0" borderId="0" xfId="0" applyFont="1"/>
    <xf numFmtId="165" fontId="5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23" fillId="3" borderId="1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3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left"/>
    </xf>
    <xf numFmtId="0" fontId="33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3" fontId="27" fillId="4" borderId="1" xfId="0" applyNumberFormat="1" applyFont="1" applyFill="1" applyBorder="1" applyAlignment="1">
      <alignment horizontal="center" vertical="center"/>
    </xf>
    <xf numFmtId="0" fontId="6" fillId="0" borderId="0" xfId="1"/>
    <xf numFmtId="0" fontId="26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2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7" fontId="22" fillId="4" borderId="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4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4" borderId="1" xfId="0" applyFont="1" applyFill="1" applyBorder="1"/>
    <xf numFmtId="0" fontId="0" fillId="4" borderId="1" xfId="0" applyFill="1" applyBorder="1"/>
    <xf numFmtId="0" fontId="24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164" fontId="33" fillId="4" borderId="1" xfId="0" applyNumberFormat="1" applyFont="1" applyFill="1" applyBorder="1" applyAlignment="1">
      <alignment horizontal="center"/>
    </xf>
    <xf numFmtId="167" fontId="33" fillId="4" borderId="1" xfId="2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vertical="center"/>
    </xf>
    <xf numFmtId="0" fontId="0" fillId="0" borderId="1" xfId="2" applyNumberFormat="1" applyFont="1" applyBorder="1"/>
    <xf numFmtId="166" fontId="0" fillId="0" borderId="1" xfId="0" applyNumberFormat="1" applyBorder="1" applyAlignment="1">
      <alignment horizontal="right"/>
    </xf>
    <xf numFmtId="168" fontId="0" fillId="0" borderId="1" xfId="0" applyNumberFormat="1" applyBorder="1"/>
    <xf numFmtId="2" fontId="0" fillId="0" borderId="0" xfId="0" applyNumberFormat="1"/>
    <xf numFmtId="0" fontId="0" fillId="0" borderId="0" xfId="0" applyFont="1"/>
    <xf numFmtId="0" fontId="43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7" xfId="1" applyBorder="1" applyAlignment="1">
      <alignment horizontal="right" vertical="center" wrapText="1"/>
    </xf>
    <xf numFmtId="0" fontId="37" fillId="0" borderId="18" xfId="0" applyFont="1" applyBorder="1" applyAlignment="1">
      <alignment horizontal="right" vertical="center" wrapText="1"/>
    </xf>
    <xf numFmtId="0" fontId="6" fillId="0" borderId="18" xfId="1" applyBorder="1" applyAlignment="1">
      <alignment horizontal="right" vertical="center" wrapText="1"/>
    </xf>
    <xf numFmtId="0" fontId="37" fillId="0" borderId="19" xfId="0" applyFont="1" applyBorder="1" applyAlignment="1">
      <alignment horizontal="right" vertical="center" wrapText="1"/>
    </xf>
    <xf numFmtId="0" fontId="6" fillId="0" borderId="20" xfId="1" applyBorder="1" applyAlignment="1">
      <alignment horizontal="right" vertical="center" wrapText="1"/>
    </xf>
    <xf numFmtId="0" fontId="6" fillId="0" borderId="21" xfId="1" applyBorder="1" applyAlignment="1">
      <alignment horizontal="right" vertical="center" wrapText="1"/>
    </xf>
    <xf numFmtId="0" fontId="6" fillId="0" borderId="23" xfId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0" xfId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23" fillId="3" borderId="2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4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1" fillId="0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1" fillId="5" borderId="0" xfId="0" applyFont="1" applyFill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46" fillId="0" borderId="5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/>
    </xf>
    <xf numFmtId="0" fontId="39" fillId="6" borderId="7" xfId="0" applyFont="1" applyFill="1" applyBorder="1" applyAlignment="1">
      <alignment vertical="center" wrapText="1"/>
    </xf>
    <xf numFmtId="0" fontId="39" fillId="6" borderId="8" xfId="0" applyFont="1" applyFill="1" applyBorder="1" applyAlignment="1">
      <alignment vertical="center" wrapText="1"/>
    </xf>
    <xf numFmtId="0" fontId="39" fillId="6" borderId="9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0" fillId="0" borderId="0" xfId="0" applyFill="1" applyBorder="1"/>
    <xf numFmtId="0" fontId="11" fillId="5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14" fillId="9" borderId="1" xfId="0" applyFont="1" applyFill="1" applyBorder="1" applyAlignment="1">
      <alignment horizontal="left" vertical="center"/>
    </xf>
    <xf numFmtId="0" fontId="0" fillId="9" borderId="1" xfId="0" applyFill="1" applyBorder="1"/>
    <xf numFmtId="177" fontId="2" fillId="9" borderId="1" xfId="0" applyNumberFormat="1" applyFont="1" applyFill="1" applyBorder="1"/>
    <xf numFmtId="0" fontId="47" fillId="0" borderId="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7" fillId="0" borderId="5" xfId="0" applyFont="1" applyFill="1" applyBorder="1" applyAlignment="1">
      <alignment vertical="center" wrapText="1"/>
    </xf>
    <xf numFmtId="0" fontId="47" fillId="0" borderId="6" xfId="0" applyFont="1" applyFill="1" applyBorder="1" applyAlignment="1">
      <alignment vertical="center" wrapText="1"/>
    </xf>
    <xf numFmtId="173" fontId="0" fillId="0" borderId="1" xfId="0" applyNumberFormat="1" applyBorder="1"/>
    <xf numFmtId="166" fontId="0" fillId="0" borderId="0" xfId="0" applyNumberFormat="1" applyBorder="1"/>
    <xf numFmtId="166" fontId="0" fillId="0" borderId="1" xfId="0" applyNumberFormat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searchgate.net/publication/237079687_The_Handbook_of_Biomass_Combustion_and_Cofi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275444/Final_Report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workbookViewId="0">
      <selection activeCell="J28" sqref="J28"/>
    </sheetView>
  </sheetViews>
  <sheetFormatPr baseColWidth="10" defaultRowHeight="15" x14ac:dyDescent="0.25"/>
  <cols>
    <col min="1" max="1" width="23.28515625" customWidth="1"/>
    <col min="2" max="2" width="50.28515625" customWidth="1"/>
    <col min="3" max="3" width="18.42578125" customWidth="1"/>
    <col min="4" max="6" width="18.140625" customWidth="1"/>
    <col min="7" max="7" width="19" customWidth="1"/>
    <col min="8" max="10" width="18.140625" customWidth="1"/>
  </cols>
  <sheetData>
    <row r="1" spans="1:10" ht="30" customHeight="1" x14ac:dyDescent="0.25">
      <c r="B1" s="3" t="s">
        <v>39</v>
      </c>
    </row>
    <row r="2" spans="1:10" ht="33" customHeight="1" x14ac:dyDescent="0.25">
      <c r="A2" s="14"/>
      <c r="B2" s="14"/>
      <c r="C2" s="14"/>
      <c r="D2" s="221" t="s">
        <v>251</v>
      </c>
      <c r="E2" s="222"/>
      <c r="F2" s="222"/>
      <c r="G2" s="222"/>
      <c r="H2" s="222"/>
      <c r="I2" s="222"/>
      <c r="J2" s="223"/>
    </row>
    <row r="3" spans="1:10" ht="36" customHeight="1" x14ac:dyDescent="0.25">
      <c r="A3" s="14"/>
      <c r="B3" s="54" t="s">
        <v>0</v>
      </c>
      <c r="C3" s="55"/>
      <c r="D3" s="56" t="s">
        <v>1</v>
      </c>
      <c r="E3" s="56" t="s">
        <v>2</v>
      </c>
      <c r="F3" s="56" t="s">
        <v>3</v>
      </c>
      <c r="G3" s="56" t="s">
        <v>4</v>
      </c>
      <c r="H3" s="87" t="s">
        <v>5</v>
      </c>
      <c r="I3" s="87" t="s">
        <v>6</v>
      </c>
      <c r="J3" s="87" t="s">
        <v>6</v>
      </c>
    </row>
    <row r="4" spans="1:10" ht="30" customHeight="1" x14ac:dyDescent="0.25">
      <c r="A4" s="160" t="s">
        <v>280</v>
      </c>
      <c r="B4" s="167" t="s">
        <v>7</v>
      </c>
      <c r="C4" s="57"/>
      <c r="D4" s="58" t="s">
        <v>8</v>
      </c>
      <c r="E4" s="58" t="s">
        <v>8</v>
      </c>
      <c r="F4" s="58" t="s">
        <v>9</v>
      </c>
      <c r="G4" s="58" t="s">
        <v>10</v>
      </c>
      <c r="H4" s="58" t="s">
        <v>10</v>
      </c>
      <c r="I4" s="88" t="s">
        <v>199</v>
      </c>
      <c r="J4" s="58" t="s">
        <v>10</v>
      </c>
    </row>
    <row r="5" spans="1:10" ht="30" customHeight="1" x14ac:dyDescent="0.25">
      <c r="A5" s="160" t="s">
        <v>281</v>
      </c>
      <c r="B5" s="167" t="s">
        <v>11</v>
      </c>
      <c r="C5" s="58" t="s">
        <v>12</v>
      </c>
      <c r="D5" s="59">
        <v>3863000</v>
      </c>
      <c r="E5" s="59">
        <v>5006000</v>
      </c>
      <c r="F5" s="59">
        <v>28251000</v>
      </c>
      <c r="G5" s="59">
        <v>941800</v>
      </c>
      <c r="H5" s="59">
        <v>208120</v>
      </c>
      <c r="I5" s="59">
        <v>56447000</v>
      </c>
      <c r="J5" s="59">
        <v>56447000</v>
      </c>
    </row>
    <row r="6" spans="1:10" ht="30" customHeight="1" x14ac:dyDescent="0.25">
      <c r="A6" s="160" t="s">
        <v>282</v>
      </c>
      <c r="B6" s="167" t="s">
        <v>13</v>
      </c>
      <c r="C6" s="57"/>
      <c r="D6" s="58" t="s">
        <v>14</v>
      </c>
      <c r="E6" s="58" t="s">
        <v>14</v>
      </c>
      <c r="F6" s="58" t="s">
        <v>14</v>
      </c>
      <c r="G6" s="58" t="s">
        <v>15</v>
      </c>
      <c r="H6" s="64" t="s">
        <v>153</v>
      </c>
      <c r="I6" s="58" t="s">
        <v>14</v>
      </c>
      <c r="J6" s="58" t="s">
        <v>14</v>
      </c>
    </row>
    <row r="7" spans="1:10" ht="30" customHeight="1" x14ac:dyDescent="0.25">
      <c r="A7" s="160" t="s">
        <v>283</v>
      </c>
      <c r="B7" s="167" t="s">
        <v>380</v>
      </c>
      <c r="C7" s="58" t="s">
        <v>17</v>
      </c>
      <c r="D7" s="58">
        <v>1.1279999999999999</v>
      </c>
      <c r="E7" s="58">
        <v>1.1279999999999999</v>
      </c>
      <c r="F7" s="88">
        <v>1.179</v>
      </c>
      <c r="G7" s="88">
        <v>0.4</v>
      </c>
      <c r="H7" s="88">
        <v>0.4</v>
      </c>
      <c r="I7" s="88">
        <v>7.0000000000000007E-2</v>
      </c>
      <c r="J7" s="170">
        <v>0.3</v>
      </c>
    </row>
    <row r="8" spans="1:10" ht="30" customHeight="1" x14ac:dyDescent="0.25">
      <c r="A8" s="160" t="s">
        <v>282</v>
      </c>
      <c r="B8" s="167" t="s">
        <v>13</v>
      </c>
      <c r="C8" s="57"/>
      <c r="D8" s="58" t="s">
        <v>18</v>
      </c>
      <c r="E8" s="58" t="s">
        <v>18</v>
      </c>
      <c r="F8" s="58" t="s">
        <v>18</v>
      </c>
      <c r="G8" s="58" t="s">
        <v>278</v>
      </c>
      <c r="H8" s="58" t="s">
        <v>278</v>
      </c>
      <c r="I8" s="58" t="s">
        <v>20</v>
      </c>
      <c r="J8" s="58" t="s">
        <v>21</v>
      </c>
    </row>
    <row r="9" spans="1:10" ht="30" customHeight="1" x14ac:dyDescent="0.25">
      <c r="A9" s="160" t="s">
        <v>284</v>
      </c>
      <c r="B9" s="167" t="s">
        <v>22</v>
      </c>
      <c r="C9" s="58" t="s">
        <v>23</v>
      </c>
      <c r="D9" s="59">
        <f>D5*D7</f>
        <v>4357464</v>
      </c>
      <c r="E9" s="59">
        <f t="shared" ref="E9:J9" si="0">E5*E7</f>
        <v>5646767.9999999991</v>
      </c>
      <c r="F9" s="59">
        <f t="shared" si="0"/>
        <v>33307929</v>
      </c>
      <c r="G9" s="59">
        <f t="shared" si="0"/>
        <v>376720</v>
      </c>
      <c r="H9" s="59">
        <f>H5*H7</f>
        <v>83248</v>
      </c>
      <c r="I9" s="59">
        <f t="shared" si="0"/>
        <v>3951290.0000000005</v>
      </c>
      <c r="J9" s="59">
        <f t="shared" si="0"/>
        <v>16934100</v>
      </c>
    </row>
    <row r="10" spans="1:10" ht="24.95" customHeight="1" x14ac:dyDescent="0.25">
      <c r="A10" s="224" t="s">
        <v>285</v>
      </c>
      <c r="B10" s="230" t="s">
        <v>381</v>
      </c>
      <c r="C10" s="231" t="s">
        <v>24</v>
      </c>
      <c r="D10" s="148">
        <v>15.05</v>
      </c>
      <c r="E10" s="148">
        <v>15.25</v>
      </c>
      <c r="F10" s="148">
        <v>14.3</v>
      </c>
      <c r="G10" s="148">
        <v>8</v>
      </c>
      <c r="H10" s="148">
        <v>8</v>
      </c>
      <c r="I10" s="148">
        <v>15.52</v>
      </c>
      <c r="J10" s="148">
        <v>7.33</v>
      </c>
    </row>
    <row r="11" spans="1:10" ht="20.100000000000001" customHeight="1" x14ac:dyDescent="0.25">
      <c r="A11" s="225"/>
      <c r="B11" s="230"/>
      <c r="C11" s="231"/>
      <c r="D11" s="149" t="s">
        <v>25</v>
      </c>
      <c r="E11" s="149" t="s">
        <v>26</v>
      </c>
      <c r="F11" s="149" t="s">
        <v>27</v>
      </c>
      <c r="G11" s="149" t="s">
        <v>28</v>
      </c>
      <c r="H11" s="149" t="s">
        <v>28</v>
      </c>
      <c r="I11" s="149" t="s">
        <v>29</v>
      </c>
      <c r="J11" s="149" t="s">
        <v>30</v>
      </c>
    </row>
    <row r="12" spans="1:10" ht="30" customHeight="1" x14ac:dyDescent="0.25">
      <c r="A12" s="160" t="s">
        <v>282</v>
      </c>
      <c r="B12" s="167" t="s">
        <v>13</v>
      </c>
      <c r="C12" s="57"/>
      <c r="D12" s="58" t="s">
        <v>268</v>
      </c>
      <c r="E12" s="58" t="s">
        <v>269</v>
      </c>
      <c r="F12" s="58" t="s">
        <v>274</v>
      </c>
      <c r="G12" s="58" t="s">
        <v>31</v>
      </c>
      <c r="H12" s="58" t="s">
        <v>31</v>
      </c>
      <c r="I12" s="58" t="s">
        <v>276</v>
      </c>
      <c r="J12" s="58" t="s">
        <v>277</v>
      </c>
    </row>
    <row r="13" spans="1:10" ht="30" customHeight="1" x14ac:dyDescent="0.25">
      <c r="A13" s="161" t="s">
        <v>286</v>
      </c>
      <c r="B13" s="168" t="s">
        <v>476</v>
      </c>
      <c r="C13" s="60" t="s">
        <v>32</v>
      </c>
      <c r="D13" s="61">
        <f>(D9*D10)/1000</f>
        <v>65579.833200000008</v>
      </c>
      <c r="E13" s="61">
        <f t="shared" ref="E13:J13" si="1">(E9*E10)/1000</f>
        <v>86113.211999999985</v>
      </c>
      <c r="F13" s="61">
        <f t="shared" si="1"/>
        <v>476303.38470000005</v>
      </c>
      <c r="G13" s="61">
        <f t="shared" si="1"/>
        <v>3013.76</v>
      </c>
      <c r="H13" s="90">
        <f>(H9*H10)/1000</f>
        <v>665.98400000000004</v>
      </c>
      <c r="I13" s="61">
        <f t="shared" si="1"/>
        <v>61324.020800000006</v>
      </c>
      <c r="J13" s="61">
        <f t="shared" si="1"/>
        <v>124126.95299999999</v>
      </c>
    </row>
    <row r="14" spans="1:10" ht="30" customHeight="1" x14ac:dyDescent="0.25">
      <c r="A14" s="160" t="s">
        <v>287</v>
      </c>
      <c r="B14" s="167" t="s">
        <v>382</v>
      </c>
      <c r="C14" s="58" t="s">
        <v>34</v>
      </c>
      <c r="D14" s="88">
        <v>0.1</v>
      </c>
      <c r="E14" s="88">
        <v>0.1</v>
      </c>
      <c r="F14" s="88">
        <v>0.1</v>
      </c>
      <c r="G14" s="88">
        <v>0.5</v>
      </c>
      <c r="H14" s="88">
        <v>0.5</v>
      </c>
      <c r="I14" s="89">
        <v>1</v>
      </c>
      <c r="J14" s="88">
        <v>0.1</v>
      </c>
    </row>
    <row r="15" spans="1:10" ht="30" customHeight="1" x14ac:dyDescent="0.25">
      <c r="A15" s="160" t="s">
        <v>282</v>
      </c>
      <c r="B15" s="167" t="s">
        <v>13</v>
      </c>
      <c r="C15" s="57"/>
      <c r="D15" s="226" t="s">
        <v>35</v>
      </c>
      <c r="E15" s="227"/>
      <c r="F15" s="227"/>
      <c r="G15" s="227"/>
      <c r="H15" s="227"/>
      <c r="I15" s="228"/>
      <c r="J15" s="169" t="s">
        <v>478</v>
      </c>
    </row>
    <row r="16" spans="1:10" ht="30" customHeight="1" x14ac:dyDescent="0.25">
      <c r="A16" s="160" t="s">
        <v>288</v>
      </c>
      <c r="B16" s="167" t="s">
        <v>36</v>
      </c>
      <c r="C16" s="58" t="s">
        <v>37</v>
      </c>
      <c r="D16" s="59">
        <f>D9*D14</f>
        <v>435746.4</v>
      </c>
      <c r="E16" s="59">
        <f t="shared" ref="E16:I16" si="2">E9*E14</f>
        <v>564676.79999999993</v>
      </c>
      <c r="F16" s="59">
        <f t="shared" si="2"/>
        <v>3330792.9000000004</v>
      </c>
      <c r="G16" s="59">
        <f t="shared" si="2"/>
        <v>188360</v>
      </c>
      <c r="H16" s="59">
        <f t="shared" si="2"/>
        <v>41624</v>
      </c>
      <c r="I16" s="59">
        <f t="shared" si="2"/>
        <v>3951290.0000000005</v>
      </c>
      <c r="J16" s="93">
        <f>J9*J14</f>
        <v>1693410</v>
      </c>
    </row>
    <row r="17" spans="1:10" ht="30" customHeight="1" x14ac:dyDescent="0.25">
      <c r="A17" s="161" t="s">
        <v>289</v>
      </c>
      <c r="B17" s="168" t="s">
        <v>477</v>
      </c>
      <c r="C17" s="60" t="s">
        <v>38</v>
      </c>
      <c r="D17" s="61">
        <f>D13*D14</f>
        <v>6557.9833200000012</v>
      </c>
      <c r="E17" s="61">
        <f t="shared" ref="E17:J17" si="3">E13*E14</f>
        <v>8611.3211999999985</v>
      </c>
      <c r="F17" s="61">
        <f t="shared" si="3"/>
        <v>47630.33847000001</v>
      </c>
      <c r="G17" s="61">
        <f t="shared" si="3"/>
        <v>1506.88</v>
      </c>
      <c r="H17" s="61">
        <f t="shared" si="3"/>
        <v>332.99200000000002</v>
      </c>
      <c r="I17" s="61">
        <f t="shared" si="3"/>
        <v>61324.020800000006</v>
      </c>
      <c r="J17" s="61">
        <f t="shared" si="3"/>
        <v>12412.695299999999</v>
      </c>
    </row>
    <row r="19" spans="1:10" x14ac:dyDescent="0.25">
      <c r="B19" s="44" t="s">
        <v>379</v>
      </c>
      <c r="D19" s="23"/>
      <c r="E19" s="23"/>
      <c r="F19" s="23"/>
      <c r="G19" s="23"/>
      <c r="H19" s="23"/>
      <c r="I19" s="23"/>
      <c r="J19" s="23"/>
    </row>
    <row r="20" spans="1:10" x14ac:dyDescent="0.25">
      <c r="B20" t="s">
        <v>270</v>
      </c>
    </row>
    <row r="21" spans="1:10" x14ac:dyDescent="0.25">
      <c r="B21" t="s">
        <v>271</v>
      </c>
    </row>
    <row r="22" spans="1:10" x14ac:dyDescent="0.25">
      <c r="B22" t="s">
        <v>272</v>
      </c>
    </row>
    <row r="23" spans="1:10" x14ac:dyDescent="0.25">
      <c r="B23" t="s">
        <v>273</v>
      </c>
    </row>
    <row r="24" spans="1:10" x14ac:dyDescent="0.25">
      <c r="B24" t="s">
        <v>275</v>
      </c>
    </row>
    <row r="25" spans="1:10" ht="36.75" customHeight="1" x14ac:dyDescent="0.25">
      <c r="B25" s="220" t="s">
        <v>480</v>
      </c>
      <c r="C25" s="220"/>
      <c r="D25" s="220"/>
      <c r="E25" s="220"/>
      <c r="F25" s="220"/>
      <c r="G25" s="220"/>
      <c r="H25" s="220"/>
      <c r="I25" s="220"/>
      <c r="J25" s="220"/>
    </row>
    <row r="26" spans="1:10" ht="27.75" customHeight="1" x14ac:dyDescent="0.25">
      <c r="B26" s="220" t="s">
        <v>279</v>
      </c>
      <c r="C26" s="220"/>
      <c r="D26" s="220"/>
      <c r="E26" s="220"/>
      <c r="F26" s="220"/>
      <c r="G26" s="220"/>
      <c r="H26" s="220"/>
      <c r="I26" s="220"/>
      <c r="J26" s="220"/>
    </row>
    <row r="27" spans="1:10" ht="21" customHeight="1" x14ac:dyDescent="0.25">
      <c r="B27" s="229" t="s">
        <v>479</v>
      </c>
      <c r="C27" s="229"/>
      <c r="D27" s="229"/>
      <c r="E27" s="229"/>
      <c r="F27" s="229"/>
      <c r="G27" s="229"/>
      <c r="H27" s="229"/>
      <c r="I27" s="229"/>
      <c r="J27" s="229"/>
    </row>
    <row r="28" spans="1:10" ht="59.25" customHeight="1" x14ac:dyDescent="0.25">
      <c r="B28" s="217" t="s">
        <v>194</v>
      </c>
      <c r="C28" s="218"/>
      <c r="D28" s="218"/>
      <c r="E28" s="218"/>
      <c r="F28" s="218"/>
      <c r="G28" s="218"/>
      <c r="H28" s="218"/>
      <c r="I28" s="219"/>
      <c r="J28" s="48">
        <f>SUM(D17:J17)</f>
        <v>138376.23109000002</v>
      </c>
    </row>
  </sheetData>
  <mergeCells count="9">
    <mergeCell ref="B28:I28"/>
    <mergeCell ref="B25:J25"/>
    <mergeCell ref="B26:J26"/>
    <mergeCell ref="D2:J2"/>
    <mergeCell ref="A10:A11"/>
    <mergeCell ref="D15:I15"/>
    <mergeCell ref="B27:J27"/>
    <mergeCell ref="B10:B11"/>
    <mergeCell ref="C10:C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110" zoomScaleNormal="110" workbookViewId="0">
      <selection activeCell="J33" sqref="J33:J35"/>
    </sheetView>
  </sheetViews>
  <sheetFormatPr baseColWidth="10" defaultRowHeight="15" x14ac:dyDescent="0.25"/>
  <sheetData>
    <row r="2" spans="1:8" x14ac:dyDescent="0.25">
      <c r="A2" s="82" t="s">
        <v>253</v>
      </c>
    </row>
    <row r="3" spans="1:8" ht="15.75" thickBot="1" x14ac:dyDescent="0.3"/>
    <row r="4" spans="1:8" ht="20.100000000000001" customHeight="1" x14ac:dyDescent="0.25">
      <c r="A4" s="280" t="s">
        <v>255</v>
      </c>
      <c r="B4" s="281"/>
      <c r="C4" s="281"/>
      <c r="D4" s="281"/>
      <c r="E4" s="281"/>
      <c r="F4" s="281"/>
      <c r="G4" s="281"/>
      <c r="H4" s="282"/>
    </row>
    <row r="5" spans="1:8" ht="20.100000000000001" customHeight="1" thickBot="1" x14ac:dyDescent="0.3">
      <c r="A5" s="283" t="s">
        <v>258</v>
      </c>
      <c r="B5" s="284"/>
      <c r="C5" s="284"/>
      <c r="D5" s="284"/>
      <c r="E5" s="284"/>
      <c r="F5" s="284"/>
      <c r="G5" s="284"/>
      <c r="H5" s="285"/>
    </row>
    <row r="6" spans="1:8" ht="20.100000000000001" customHeight="1" thickBot="1" x14ac:dyDescent="0.3">
      <c r="A6" s="40"/>
      <c r="B6" s="40"/>
      <c r="C6" s="40"/>
      <c r="D6" s="40"/>
      <c r="E6" s="40"/>
      <c r="F6" s="40"/>
      <c r="G6" s="40"/>
      <c r="H6" s="40"/>
    </row>
    <row r="7" spans="1:8" ht="20.100000000000001" customHeight="1" x14ac:dyDescent="0.25">
      <c r="A7" s="280" t="s">
        <v>259</v>
      </c>
      <c r="B7" s="281"/>
      <c r="C7" s="281"/>
      <c r="D7" s="281"/>
      <c r="E7" s="281"/>
      <c r="F7" s="281"/>
      <c r="G7" s="281"/>
      <c r="H7" s="282"/>
    </row>
    <row r="8" spans="1:8" ht="20.100000000000001" customHeight="1" thickBot="1" x14ac:dyDescent="0.3">
      <c r="A8" s="283" t="s">
        <v>257</v>
      </c>
      <c r="B8" s="284"/>
      <c r="C8" s="284"/>
      <c r="D8" s="284"/>
      <c r="E8" s="284"/>
      <c r="F8" s="284"/>
      <c r="G8" s="284"/>
      <c r="H8" s="285"/>
    </row>
    <row r="9" spans="1:8" ht="20.100000000000001" customHeight="1" thickBot="1" x14ac:dyDescent="0.3">
      <c r="A9" s="40"/>
      <c r="B9" s="40"/>
      <c r="C9" s="40"/>
      <c r="D9" s="40"/>
      <c r="E9" s="40"/>
      <c r="F9" s="40"/>
      <c r="G9" s="40"/>
      <c r="H9" s="40"/>
    </row>
    <row r="10" spans="1:8" ht="20.100000000000001" customHeight="1" x14ac:dyDescent="0.25">
      <c r="A10" s="280" t="s">
        <v>254</v>
      </c>
      <c r="B10" s="281"/>
      <c r="C10" s="281"/>
      <c r="D10" s="281"/>
      <c r="E10" s="281"/>
      <c r="F10" s="281"/>
      <c r="G10" s="281"/>
      <c r="H10" s="282"/>
    </row>
    <row r="11" spans="1:8" ht="20.100000000000001" customHeight="1" thickBot="1" x14ac:dyDescent="0.3">
      <c r="A11" s="283" t="s">
        <v>256</v>
      </c>
      <c r="B11" s="284"/>
      <c r="C11" s="284"/>
      <c r="D11" s="284"/>
      <c r="E11" s="284"/>
      <c r="F11" s="284"/>
      <c r="G11" s="284"/>
      <c r="H11" s="285"/>
    </row>
    <row r="14" spans="1:8" ht="15.75" thickBot="1" x14ac:dyDescent="0.3"/>
    <row r="15" spans="1:8" ht="33.75" customHeight="1" thickBot="1" x14ac:dyDescent="0.3">
      <c r="A15" s="277" t="s">
        <v>318</v>
      </c>
      <c r="B15" s="278"/>
      <c r="C15" s="278"/>
      <c r="D15" s="278"/>
      <c r="E15" s="278"/>
      <c r="F15" s="278"/>
      <c r="G15" s="278"/>
      <c r="H15" s="279"/>
    </row>
    <row r="16" spans="1:8" ht="15.75" x14ac:dyDescent="0.25">
      <c r="A16" s="133" t="s">
        <v>309</v>
      </c>
      <c r="B16" s="132"/>
      <c r="C16" s="132"/>
      <c r="D16" s="132"/>
      <c r="E16" s="132"/>
      <c r="F16" s="132"/>
      <c r="G16" s="132"/>
    </row>
    <row r="17" spans="1:15" ht="15.75" thickBot="1" x14ac:dyDescent="0.3">
      <c r="B17" s="132"/>
      <c r="C17" s="132"/>
      <c r="D17" s="132"/>
      <c r="E17" s="132"/>
      <c r="F17" s="132"/>
      <c r="G17" s="132"/>
    </row>
    <row r="18" spans="1:15" ht="28.5" customHeight="1" thickBot="1" x14ac:dyDescent="0.3">
      <c r="A18" s="273" t="s">
        <v>319</v>
      </c>
      <c r="B18" s="274"/>
      <c r="C18" s="274"/>
      <c r="D18" s="274"/>
      <c r="E18" s="274"/>
      <c r="F18" s="274"/>
      <c r="G18" s="274"/>
      <c r="H18" s="275"/>
    </row>
    <row r="19" spans="1:15" x14ac:dyDescent="0.25">
      <c r="A19" s="134" t="s">
        <v>311</v>
      </c>
      <c r="B19" s="135"/>
      <c r="C19" s="135"/>
      <c r="D19" s="135"/>
      <c r="E19" s="135"/>
      <c r="F19" s="135"/>
      <c r="G19" s="135"/>
      <c r="H19" s="134"/>
      <c r="I19" s="136"/>
      <c r="J19" s="136"/>
      <c r="K19" s="136"/>
      <c r="L19" s="136"/>
      <c r="M19" s="136"/>
      <c r="N19" s="136"/>
      <c r="O19" s="136"/>
    </row>
    <row r="20" spans="1:15" x14ac:dyDescent="0.25">
      <c r="A20" s="137" t="s">
        <v>310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2" spans="1:15" x14ac:dyDescent="0.25">
      <c r="A22" s="14" t="s">
        <v>312</v>
      </c>
      <c r="B22" s="14">
        <v>0.34100000000000003</v>
      </c>
      <c r="C22" s="128">
        <v>48</v>
      </c>
      <c r="D22" s="14">
        <f>C22*B22</f>
        <v>16.368000000000002</v>
      </c>
      <c r="E22" s="129">
        <f>C22*B22</f>
        <v>16.368000000000002</v>
      </c>
    </row>
    <row r="23" spans="1:15" x14ac:dyDescent="0.25">
      <c r="A23" s="14" t="s">
        <v>313</v>
      </c>
      <c r="B23" s="14">
        <v>1.3220000000000001</v>
      </c>
      <c r="C23" s="128">
        <v>6</v>
      </c>
      <c r="D23" s="14">
        <f t="shared" ref="D23:D24" si="0">C23*B23</f>
        <v>7.9320000000000004</v>
      </c>
      <c r="E23" s="129">
        <f t="shared" ref="E23:E24" si="1">C23*B23</f>
        <v>7.9320000000000004</v>
      </c>
    </row>
    <row r="24" spans="1:15" x14ac:dyDescent="0.25">
      <c r="A24" s="14" t="s">
        <v>314</v>
      </c>
      <c r="B24" s="14">
        <v>0.12</v>
      </c>
      <c r="C24" s="128">
        <v>44</v>
      </c>
      <c r="D24" s="130">
        <f t="shared" si="0"/>
        <v>5.2799999999999994</v>
      </c>
      <c r="E24" s="129">
        <f t="shared" si="1"/>
        <v>5.2799999999999994</v>
      </c>
    </row>
    <row r="25" spans="1:15" x14ac:dyDescent="0.25">
      <c r="A25" s="14" t="s">
        <v>315</v>
      </c>
      <c r="B25" s="14">
        <v>0.12</v>
      </c>
      <c r="C25" s="128"/>
      <c r="D25" s="14"/>
      <c r="E25" s="129"/>
    </row>
    <row r="26" spans="1:15" x14ac:dyDescent="0.25">
      <c r="A26" s="14" t="s">
        <v>316</v>
      </c>
      <c r="B26" s="14">
        <v>6.8599999999999994E-2</v>
      </c>
      <c r="C26" s="128"/>
      <c r="D26" s="14"/>
      <c r="E26" s="129"/>
    </row>
    <row r="27" spans="1:15" x14ac:dyDescent="0.25">
      <c r="A27" s="14" t="s">
        <v>317</v>
      </c>
      <c r="B27" s="14">
        <v>1.5299999999999999E-2</v>
      </c>
      <c r="C27" s="128"/>
      <c r="D27" s="14"/>
      <c r="E27" s="129"/>
    </row>
    <row r="28" spans="1:15" x14ac:dyDescent="0.25">
      <c r="A28" s="14"/>
      <c r="B28" s="14"/>
      <c r="C28" s="128">
        <f>SUM(C22:C27)</f>
        <v>98</v>
      </c>
      <c r="D28" s="130">
        <f>D22+D23-D24-D25-D26-D27</f>
        <v>19.020000000000003</v>
      </c>
      <c r="E28" s="129">
        <f>E22+E23-E24</f>
        <v>19.020000000000003</v>
      </c>
      <c r="F28" s="131"/>
    </row>
    <row r="30" spans="1:15" x14ac:dyDescent="0.25">
      <c r="A30" s="14" t="s">
        <v>312</v>
      </c>
      <c r="B30" s="14">
        <v>0.34100000000000003</v>
      </c>
      <c r="C30" s="128">
        <v>0.48</v>
      </c>
      <c r="D30" s="14">
        <f>C30*B30</f>
        <v>0.16368000000000002</v>
      </c>
      <c r="E30" s="129">
        <f>C30*B30</f>
        <v>0.16368000000000002</v>
      </c>
      <c r="G30" s="210">
        <v>46.02</v>
      </c>
      <c r="H30" s="211">
        <f>G30/100</f>
        <v>0.46020000000000005</v>
      </c>
      <c r="I30" s="14">
        <v>0.34100000000000003</v>
      </c>
      <c r="J30" s="210">
        <f>I30*H30</f>
        <v>0.15692820000000002</v>
      </c>
      <c r="K30" s="14"/>
    </row>
    <row r="31" spans="1:15" x14ac:dyDescent="0.25">
      <c r="A31" s="14" t="s">
        <v>313</v>
      </c>
      <c r="B31" s="14">
        <v>1.3220000000000001</v>
      </c>
      <c r="C31" s="128">
        <v>0.06</v>
      </c>
      <c r="D31" s="14">
        <f t="shared" ref="D31:D32" si="2">C31*B31</f>
        <v>7.9320000000000002E-2</v>
      </c>
      <c r="E31" s="129">
        <f t="shared" ref="E31:E32" si="3">C31*B31</f>
        <v>7.9320000000000002E-2</v>
      </c>
      <c r="F31" s="40"/>
      <c r="G31" s="210">
        <v>5.5</v>
      </c>
      <c r="H31" s="211">
        <f t="shared" ref="H31:H35" si="4">G31/100</f>
        <v>5.5E-2</v>
      </c>
      <c r="I31" s="14">
        <v>1.3220000000000001</v>
      </c>
      <c r="J31" s="210">
        <f t="shared" ref="J31:J35" si="5">I31*H31</f>
        <v>7.2710000000000011E-2</v>
      </c>
      <c r="K31" s="14"/>
    </row>
    <row r="32" spans="1:15" x14ac:dyDescent="0.25">
      <c r="A32" s="14" t="s">
        <v>314</v>
      </c>
      <c r="B32" s="14">
        <v>0.12</v>
      </c>
      <c r="C32" s="128">
        <v>0.44</v>
      </c>
      <c r="D32" s="130">
        <f t="shared" si="2"/>
        <v>5.28E-2</v>
      </c>
      <c r="E32" s="129">
        <f t="shared" si="3"/>
        <v>5.28E-2</v>
      </c>
      <c r="G32" s="210">
        <v>41.44</v>
      </c>
      <c r="H32" s="211">
        <f t="shared" si="4"/>
        <v>0.41439999999999999</v>
      </c>
      <c r="I32" s="14">
        <v>0.12</v>
      </c>
      <c r="J32" s="210">
        <f t="shared" si="5"/>
        <v>4.9727999999999994E-2</v>
      </c>
      <c r="K32" s="14"/>
    </row>
    <row r="33" spans="1:11" x14ac:dyDescent="0.25">
      <c r="A33" s="14" t="s">
        <v>315</v>
      </c>
      <c r="B33" s="14">
        <v>0.12</v>
      </c>
      <c r="C33" s="128"/>
      <c r="D33" s="14"/>
      <c r="E33" s="129"/>
      <c r="G33" s="210">
        <v>1.65</v>
      </c>
      <c r="H33" s="211">
        <f t="shared" si="4"/>
        <v>1.6500000000000001E-2</v>
      </c>
      <c r="I33" s="14">
        <v>0.12</v>
      </c>
      <c r="J33" s="210">
        <f t="shared" si="5"/>
        <v>1.98E-3</v>
      </c>
      <c r="K33" s="14"/>
    </row>
    <row r="34" spans="1:11" x14ac:dyDescent="0.25">
      <c r="A34" s="14" t="s">
        <v>316</v>
      </c>
      <c r="B34" s="14">
        <v>6.8599999999999994E-2</v>
      </c>
      <c r="C34" s="128"/>
      <c r="D34" s="14"/>
      <c r="E34" s="129"/>
      <c r="G34" s="210">
        <v>0.1</v>
      </c>
      <c r="H34" s="211">
        <f t="shared" si="4"/>
        <v>1E-3</v>
      </c>
      <c r="I34" s="14">
        <v>6.8599999999999994E-2</v>
      </c>
      <c r="J34" s="210">
        <f t="shared" si="5"/>
        <v>6.86E-5</v>
      </c>
      <c r="K34" s="14"/>
    </row>
    <row r="35" spans="1:11" x14ac:dyDescent="0.25">
      <c r="A35" s="14" t="s">
        <v>317</v>
      </c>
      <c r="B35" s="14">
        <v>1.5299999999999999E-2</v>
      </c>
      <c r="C35" s="128"/>
      <c r="D35" s="14"/>
      <c r="E35" s="129"/>
      <c r="G35" s="210">
        <v>5.04</v>
      </c>
      <c r="H35" s="211">
        <f t="shared" si="4"/>
        <v>5.04E-2</v>
      </c>
      <c r="I35" s="14">
        <v>1.5299999999999999E-2</v>
      </c>
      <c r="J35" s="210">
        <f t="shared" si="5"/>
        <v>7.7111999999999992E-4</v>
      </c>
      <c r="K35" s="210"/>
    </row>
    <row r="36" spans="1:11" x14ac:dyDescent="0.25">
      <c r="A36" s="14" t="s">
        <v>321</v>
      </c>
      <c r="B36" s="14"/>
      <c r="C36" s="128">
        <f>SUM(C30:C35)</f>
        <v>0.98</v>
      </c>
      <c r="D36" s="130">
        <f>D30+D31-D32-D33-D34-D35</f>
        <v>0.19020000000000004</v>
      </c>
      <c r="E36" s="129">
        <f>E30+E31-E32</f>
        <v>0.19020000000000004</v>
      </c>
      <c r="J36" s="212">
        <f>SUM(J30:J35)</f>
        <v>0.28218591999999998</v>
      </c>
      <c r="K36">
        <f>SUM(J30:J32)</f>
        <v>0.27936620000000001</v>
      </c>
    </row>
    <row r="38" spans="1:11" ht="26.25" customHeight="1" x14ac:dyDescent="0.25">
      <c r="A38" s="276" t="s">
        <v>255</v>
      </c>
      <c r="B38" s="276"/>
      <c r="C38" s="276"/>
      <c r="D38" s="276"/>
      <c r="E38" s="276"/>
      <c r="F38" s="276"/>
      <c r="G38" s="276"/>
      <c r="H38" s="276"/>
    </row>
    <row r="40" spans="1:11" x14ac:dyDescent="0.25">
      <c r="A40" s="14" t="s">
        <v>312</v>
      </c>
      <c r="B40" s="14">
        <v>0.34910000000000002</v>
      </c>
      <c r="C40" s="128">
        <v>48</v>
      </c>
      <c r="D40" s="14">
        <f>C40*B40</f>
        <v>16.756800000000002</v>
      </c>
    </row>
    <row r="41" spans="1:11" x14ac:dyDescent="0.25">
      <c r="A41" s="14" t="s">
        <v>313</v>
      </c>
      <c r="B41" s="14">
        <v>1.1722999999999999</v>
      </c>
      <c r="C41" s="128">
        <v>6</v>
      </c>
      <c r="D41" s="14">
        <f t="shared" ref="D41:D42" si="6">C41*B41</f>
        <v>7.0337999999999994</v>
      </c>
    </row>
    <row r="42" spans="1:11" x14ac:dyDescent="0.25">
      <c r="A42" s="14" t="s">
        <v>314</v>
      </c>
      <c r="B42" s="14">
        <v>0.10340000000000001</v>
      </c>
      <c r="C42" s="128">
        <v>44</v>
      </c>
      <c r="D42" s="130">
        <f t="shared" si="6"/>
        <v>4.5495999999999999</v>
      </c>
    </row>
    <row r="43" spans="1:11" x14ac:dyDescent="0.25">
      <c r="A43" s="14" t="s">
        <v>315</v>
      </c>
      <c r="B43" s="14">
        <v>1.5100000000000001E-2</v>
      </c>
      <c r="C43" s="14"/>
      <c r="D43" s="14"/>
    </row>
    <row r="44" spans="1:11" x14ac:dyDescent="0.25">
      <c r="A44" s="14" t="s">
        <v>316</v>
      </c>
      <c r="B44" s="14">
        <v>0.10050000000000001</v>
      </c>
      <c r="C44" s="14"/>
      <c r="D44" s="14"/>
    </row>
    <row r="45" spans="1:11" x14ac:dyDescent="0.25">
      <c r="A45" s="14" t="s">
        <v>320</v>
      </c>
      <c r="B45" s="14">
        <v>2.1100000000000001E-2</v>
      </c>
      <c r="C45" s="14"/>
      <c r="D45" s="14"/>
    </row>
    <row r="46" spans="1:11" x14ac:dyDescent="0.25">
      <c r="A46" s="97" t="s">
        <v>182</v>
      </c>
      <c r="B46" s="14"/>
      <c r="C46" s="14"/>
      <c r="D46" s="130">
        <f>D40+D41-D42</f>
        <v>19.241</v>
      </c>
    </row>
    <row r="48" spans="1:11" x14ac:dyDescent="0.25">
      <c r="A48" s="14" t="s">
        <v>312</v>
      </c>
      <c r="B48" s="14">
        <v>0.34910000000000002</v>
      </c>
      <c r="C48" s="128">
        <v>0.48</v>
      </c>
      <c r="D48" s="14">
        <f>C48*B48</f>
        <v>0.16756799999999999</v>
      </c>
    </row>
    <row r="49" spans="1:4" x14ac:dyDescent="0.25">
      <c r="A49" s="14" t="s">
        <v>313</v>
      </c>
      <c r="B49" s="14">
        <v>1.1722999999999999</v>
      </c>
      <c r="C49" s="128">
        <v>0.06</v>
      </c>
      <c r="D49" s="14">
        <f t="shared" ref="D49:D50" si="7">C49*B49</f>
        <v>7.0337999999999998E-2</v>
      </c>
    </row>
    <row r="50" spans="1:4" x14ac:dyDescent="0.25">
      <c r="A50" s="14" t="s">
        <v>314</v>
      </c>
      <c r="B50" s="14">
        <v>0.10340000000000001</v>
      </c>
      <c r="C50" s="128">
        <v>0.44</v>
      </c>
      <c r="D50" s="130">
        <f t="shared" si="7"/>
        <v>4.5496000000000002E-2</v>
      </c>
    </row>
    <row r="51" spans="1:4" x14ac:dyDescent="0.25">
      <c r="A51" s="14" t="s">
        <v>315</v>
      </c>
      <c r="B51" s="14">
        <v>1.5100000000000001E-2</v>
      </c>
      <c r="C51" s="14"/>
      <c r="D51" s="14"/>
    </row>
    <row r="52" spans="1:4" x14ac:dyDescent="0.25">
      <c r="A52" s="14" t="s">
        <v>316</v>
      </c>
      <c r="B52" s="14">
        <v>0.10050000000000001</v>
      </c>
      <c r="C52" s="14"/>
      <c r="D52" s="14"/>
    </row>
    <row r="53" spans="1:4" x14ac:dyDescent="0.25">
      <c r="A53" s="14" t="s">
        <v>320</v>
      </c>
      <c r="B53" s="14">
        <v>2.1100000000000001E-2</v>
      </c>
      <c r="C53" s="14"/>
      <c r="D53" s="14"/>
    </row>
    <row r="54" spans="1:4" x14ac:dyDescent="0.25">
      <c r="A54" s="97" t="s">
        <v>182</v>
      </c>
      <c r="B54" s="14"/>
      <c r="C54" s="14">
        <f>SUM(C48:C53)</f>
        <v>0.98</v>
      </c>
      <c r="D54" s="130">
        <f>D48+D49-D50</f>
        <v>0.19241</v>
      </c>
    </row>
  </sheetData>
  <mergeCells count="9">
    <mergeCell ref="A18:H18"/>
    <mergeCell ref="A38:H38"/>
    <mergeCell ref="A15:H15"/>
    <mergeCell ref="A4:H4"/>
    <mergeCell ref="A5:H5"/>
    <mergeCell ref="A7:H7"/>
    <mergeCell ref="A8:H8"/>
    <mergeCell ref="A10:H10"/>
    <mergeCell ref="A11:H11"/>
  </mergeCells>
  <hyperlinks>
    <hyperlink ref="A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8"/>
  <sheetViews>
    <sheetView workbookViewId="0">
      <selection activeCell="C68" sqref="C68"/>
    </sheetView>
  </sheetViews>
  <sheetFormatPr baseColWidth="10" defaultRowHeight="15" x14ac:dyDescent="0.25"/>
  <cols>
    <col min="1" max="1" width="6.7109375" customWidth="1"/>
    <col min="2" max="2" width="11.42578125" style="165"/>
    <col min="3" max="3" width="112.7109375" style="20" customWidth="1"/>
  </cols>
  <sheetData>
    <row r="1" spans="2:3" ht="30" customHeight="1" x14ac:dyDescent="0.25">
      <c r="B1" s="165" t="s">
        <v>472</v>
      </c>
    </row>
    <row r="2" spans="2:3" ht="30" customHeight="1" x14ac:dyDescent="0.25">
      <c r="B2" s="166" t="s">
        <v>131</v>
      </c>
      <c r="C2" s="163" t="s">
        <v>383</v>
      </c>
    </row>
    <row r="3" spans="2:3" ht="30" customHeight="1" x14ac:dyDescent="0.25">
      <c r="B3" s="166" t="s">
        <v>384</v>
      </c>
      <c r="C3" s="163" t="s">
        <v>385</v>
      </c>
    </row>
    <row r="4" spans="2:3" ht="30" customHeight="1" x14ac:dyDescent="0.25">
      <c r="B4" s="166" t="s">
        <v>35</v>
      </c>
      <c r="C4" s="163" t="s">
        <v>386</v>
      </c>
    </row>
    <row r="5" spans="2:3" ht="30" customHeight="1" x14ac:dyDescent="0.25">
      <c r="B5" s="166" t="s">
        <v>387</v>
      </c>
      <c r="C5" s="163" t="s">
        <v>388</v>
      </c>
    </row>
    <row r="6" spans="2:3" ht="30" customHeight="1" x14ac:dyDescent="0.25">
      <c r="B6" s="166" t="s">
        <v>14</v>
      </c>
      <c r="C6" s="163" t="s">
        <v>389</v>
      </c>
    </row>
    <row r="7" spans="2:3" ht="30" customHeight="1" x14ac:dyDescent="0.25">
      <c r="B7" s="166" t="s">
        <v>15</v>
      </c>
      <c r="C7" s="163" t="s">
        <v>390</v>
      </c>
    </row>
    <row r="8" spans="2:3" ht="30" customHeight="1" x14ac:dyDescent="0.25">
      <c r="B8" s="166" t="s">
        <v>391</v>
      </c>
      <c r="C8" s="163" t="s">
        <v>392</v>
      </c>
    </row>
    <row r="9" spans="2:3" ht="30" customHeight="1" x14ac:dyDescent="0.25">
      <c r="B9" s="166" t="s">
        <v>393</v>
      </c>
      <c r="C9" s="163" t="s">
        <v>394</v>
      </c>
    </row>
    <row r="10" spans="2:3" ht="30" customHeight="1" x14ac:dyDescent="0.25">
      <c r="B10" s="166" t="s">
        <v>395</v>
      </c>
      <c r="C10" s="163" t="s">
        <v>396</v>
      </c>
    </row>
    <row r="11" spans="2:3" ht="30" customHeight="1" x14ac:dyDescent="0.25">
      <c r="B11" s="166" t="s">
        <v>397</v>
      </c>
      <c r="C11" s="163" t="s">
        <v>398</v>
      </c>
    </row>
    <row r="12" spans="2:3" ht="30" customHeight="1" x14ac:dyDescent="0.25">
      <c r="B12" s="166" t="s">
        <v>19</v>
      </c>
      <c r="C12" s="163" t="s">
        <v>399</v>
      </c>
    </row>
    <row r="13" spans="2:3" ht="30" customHeight="1" x14ac:dyDescent="0.25">
      <c r="B13" s="166" t="s">
        <v>18</v>
      </c>
      <c r="C13" s="163" t="s">
        <v>400</v>
      </c>
    </row>
    <row r="14" spans="2:3" ht="30" customHeight="1" x14ac:dyDescent="0.25">
      <c r="B14" s="166" t="s">
        <v>20</v>
      </c>
      <c r="C14" s="163" t="s">
        <v>401</v>
      </c>
    </row>
    <row r="15" spans="2:3" ht="30" customHeight="1" x14ac:dyDescent="0.25">
      <c r="B15" s="166" t="s">
        <v>21</v>
      </c>
      <c r="C15" s="163" t="s">
        <v>402</v>
      </c>
    </row>
    <row r="16" spans="2:3" ht="30" customHeight="1" x14ac:dyDescent="0.25">
      <c r="B16" s="166" t="s">
        <v>95</v>
      </c>
      <c r="C16" s="163" t="s">
        <v>403</v>
      </c>
    </row>
    <row r="17" spans="2:3" ht="30" customHeight="1" x14ac:dyDescent="0.25">
      <c r="B17" s="166" t="s">
        <v>404</v>
      </c>
      <c r="C17" s="163" t="s">
        <v>405</v>
      </c>
    </row>
    <row r="18" spans="2:3" ht="30" customHeight="1" x14ac:dyDescent="0.25">
      <c r="B18" s="166" t="s">
        <v>406</v>
      </c>
      <c r="C18" s="163" t="s">
        <v>407</v>
      </c>
    </row>
    <row r="19" spans="2:3" ht="40.5" customHeight="1" x14ac:dyDescent="0.25">
      <c r="B19" s="166" t="s">
        <v>31</v>
      </c>
      <c r="C19" s="163" t="s">
        <v>408</v>
      </c>
    </row>
    <row r="20" spans="2:3" ht="30" customHeight="1" x14ac:dyDescent="0.25">
      <c r="B20" s="166" t="s">
        <v>409</v>
      </c>
      <c r="C20" s="163" t="s">
        <v>410</v>
      </c>
    </row>
    <row r="21" spans="2:3" ht="49.5" customHeight="1" x14ac:dyDescent="0.25">
      <c r="B21" s="166" t="s">
        <v>411</v>
      </c>
      <c r="C21" s="163" t="s">
        <v>412</v>
      </c>
    </row>
    <row r="22" spans="2:3" ht="45.75" customHeight="1" x14ac:dyDescent="0.25">
      <c r="B22" s="166" t="s">
        <v>413</v>
      </c>
      <c r="C22" s="163" t="s">
        <v>414</v>
      </c>
    </row>
    <row r="23" spans="2:3" ht="30" customHeight="1" x14ac:dyDescent="0.25">
      <c r="B23" s="166" t="s">
        <v>116</v>
      </c>
      <c r="C23" s="162" t="s">
        <v>415</v>
      </c>
    </row>
    <row r="24" spans="2:3" ht="30" customHeight="1" x14ac:dyDescent="0.25">
      <c r="B24" s="166" t="s">
        <v>416</v>
      </c>
      <c r="C24" s="162" t="s">
        <v>417</v>
      </c>
    </row>
    <row r="25" spans="2:3" ht="30" customHeight="1" x14ac:dyDescent="0.25">
      <c r="B25" s="166" t="s">
        <v>118</v>
      </c>
      <c r="C25" s="163" t="s">
        <v>418</v>
      </c>
    </row>
    <row r="26" spans="2:3" ht="44.25" customHeight="1" x14ac:dyDescent="0.25">
      <c r="B26" s="166" t="s">
        <v>119</v>
      </c>
      <c r="C26" s="163" t="s">
        <v>419</v>
      </c>
    </row>
    <row r="27" spans="2:3" ht="44.25" customHeight="1" x14ac:dyDescent="0.25">
      <c r="B27" s="166" t="s">
        <v>120</v>
      </c>
      <c r="C27" s="163" t="s">
        <v>420</v>
      </c>
    </row>
    <row r="28" spans="2:3" ht="30" customHeight="1" x14ac:dyDescent="0.25">
      <c r="B28" s="166" t="s">
        <v>168</v>
      </c>
      <c r="C28" s="162" t="s">
        <v>421</v>
      </c>
    </row>
    <row r="29" spans="2:3" ht="30" customHeight="1" x14ac:dyDescent="0.25">
      <c r="B29" s="166" t="s">
        <v>422</v>
      </c>
      <c r="C29" s="163" t="s">
        <v>423</v>
      </c>
    </row>
    <row r="30" spans="2:3" ht="30" customHeight="1" x14ac:dyDescent="0.25">
      <c r="B30" s="166" t="s">
        <v>424</v>
      </c>
      <c r="C30" s="163" t="s">
        <v>425</v>
      </c>
    </row>
    <row r="31" spans="2:3" ht="30" customHeight="1" x14ac:dyDescent="0.25">
      <c r="B31" s="166" t="s">
        <v>426</v>
      </c>
      <c r="C31" s="163" t="s">
        <v>427</v>
      </c>
    </row>
    <row r="32" spans="2:3" ht="30" customHeight="1" x14ac:dyDescent="0.25">
      <c r="B32" s="166" t="s">
        <v>428</v>
      </c>
      <c r="C32" s="163" t="s">
        <v>429</v>
      </c>
    </row>
    <row r="33" spans="2:3" ht="30" customHeight="1" x14ac:dyDescent="0.25">
      <c r="B33" s="166" t="s">
        <v>430</v>
      </c>
      <c r="C33" s="163" t="s">
        <v>431</v>
      </c>
    </row>
    <row r="34" spans="2:3" ht="30" customHeight="1" x14ac:dyDescent="0.25">
      <c r="B34" s="166" t="s">
        <v>432</v>
      </c>
      <c r="C34" s="163" t="s">
        <v>433</v>
      </c>
    </row>
    <row r="35" spans="2:3" ht="30" customHeight="1" x14ac:dyDescent="0.25">
      <c r="B35" s="166" t="s">
        <v>434</v>
      </c>
      <c r="C35" s="162" t="s">
        <v>435</v>
      </c>
    </row>
    <row r="36" spans="2:3" ht="30" customHeight="1" x14ac:dyDescent="0.25">
      <c r="B36" s="166" t="s">
        <v>436</v>
      </c>
      <c r="C36" s="163" t="s">
        <v>437</v>
      </c>
    </row>
    <row r="37" spans="2:3" ht="30" customHeight="1" x14ac:dyDescent="0.25">
      <c r="B37" s="166" t="s">
        <v>438</v>
      </c>
      <c r="C37" s="163" t="s">
        <v>439</v>
      </c>
    </row>
    <row r="38" spans="2:3" ht="30" customHeight="1" x14ac:dyDescent="0.25">
      <c r="B38" s="166" t="s">
        <v>440</v>
      </c>
      <c r="C38" s="163" t="s">
        <v>441</v>
      </c>
    </row>
    <row r="39" spans="2:3" ht="30" customHeight="1" x14ac:dyDescent="0.25">
      <c r="B39" s="166" t="s">
        <v>442</v>
      </c>
      <c r="C39" s="163" t="s">
        <v>443</v>
      </c>
    </row>
    <row r="40" spans="2:3" ht="30" customHeight="1" x14ac:dyDescent="0.25">
      <c r="B40" s="166" t="s">
        <v>444</v>
      </c>
      <c r="C40" s="163" t="s">
        <v>445</v>
      </c>
    </row>
    <row r="41" spans="2:3" ht="30" customHeight="1" x14ac:dyDescent="0.25">
      <c r="B41" s="166" t="s">
        <v>446</v>
      </c>
      <c r="C41" s="162" t="s">
        <v>447</v>
      </c>
    </row>
    <row r="42" spans="2:3" ht="30" customHeight="1" x14ac:dyDescent="0.25">
      <c r="B42" s="166" t="s">
        <v>448</v>
      </c>
      <c r="C42" s="162" t="s">
        <v>449</v>
      </c>
    </row>
    <row r="43" spans="2:3" ht="45.75" customHeight="1" x14ac:dyDescent="0.25">
      <c r="B43" s="166" t="s">
        <v>450</v>
      </c>
      <c r="C43" s="163" t="s">
        <v>471</v>
      </c>
    </row>
    <row r="44" spans="2:3" ht="30" customHeight="1" x14ac:dyDescent="0.25">
      <c r="B44" s="166" t="s">
        <v>451</v>
      </c>
      <c r="C44" s="163" t="s">
        <v>452</v>
      </c>
    </row>
    <row r="45" spans="2:3" ht="30" customHeight="1" x14ac:dyDescent="0.25">
      <c r="B45" s="166" t="s">
        <v>453</v>
      </c>
      <c r="C45" s="163" t="s">
        <v>470</v>
      </c>
    </row>
    <row r="46" spans="2:3" ht="30" customHeight="1" x14ac:dyDescent="0.25">
      <c r="B46" s="166" t="s">
        <v>454</v>
      </c>
      <c r="C46" s="162" t="s">
        <v>455</v>
      </c>
    </row>
    <row r="47" spans="2:3" ht="30" customHeight="1" x14ac:dyDescent="0.25">
      <c r="B47" s="166" t="s">
        <v>456</v>
      </c>
      <c r="C47" s="163" t="s">
        <v>457</v>
      </c>
    </row>
    <row r="48" spans="2:3" ht="30" customHeight="1" x14ac:dyDescent="0.25">
      <c r="B48" s="166" t="s">
        <v>458</v>
      </c>
      <c r="C48" s="163" t="s">
        <v>459</v>
      </c>
    </row>
    <row r="49" spans="2:3" ht="30" customHeight="1" x14ac:dyDescent="0.25">
      <c r="B49" s="166" t="s">
        <v>460</v>
      </c>
      <c r="C49" s="162" t="s">
        <v>461</v>
      </c>
    </row>
    <row r="50" spans="2:3" ht="44.25" customHeight="1" x14ac:dyDescent="0.25">
      <c r="B50" s="166" t="s">
        <v>462</v>
      </c>
      <c r="C50" s="163" t="s">
        <v>474</v>
      </c>
    </row>
    <row r="51" spans="2:3" ht="47.25" customHeight="1" x14ac:dyDescent="0.25">
      <c r="B51" s="166" t="s">
        <v>463</v>
      </c>
      <c r="C51" s="163" t="s">
        <v>473</v>
      </c>
    </row>
    <row r="52" spans="2:3" ht="30" customHeight="1" x14ac:dyDescent="0.25">
      <c r="B52" s="166" t="s">
        <v>464</v>
      </c>
      <c r="C52" s="162" t="s">
        <v>465</v>
      </c>
    </row>
    <row r="53" spans="2:3" ht="30" customHeight="1" x14ac:dyDescent="0.25">
      <c r="B53" s="166" t="s">
        <v>291</v>
      </c>
      <c r="C53" s="162" t="s">
        <v>303</v>
      </c>
    </row>
    <row r="54" spans="2:3" ht="45.75" customHeight="1" x14ac:dyDescent="0.25">
      <c r="B54" s="166" t="s">
        <v>293</v>
      </c>
      <c r="C54" s="164" t="s">
        <v>475</v>
      </c>
    </row>
    <row r="55" spans="2:3" ht="30" customHeight="1" x14ac:dyDescent="0.25">
      <c r="B55" s="166" t="s">
        <v>292</v>
      </c>
      <c r="C55" s="164" t="s">
        <v>466</v>
      </c>
    </row>
    <row r="56" spans="2:3" ht="36.75" customHeight="1" x14ac:dyDescent="0.25">
      <c r="B56" s="166" t="s">
        <v>278</v>
      </c>
      <c r="C56" s="162" t="s">
        <v>467</v>
      </c>
    </row>
    <row r="57" spans="2:3" ht="39.75" customHeight="1" x14ac:dyDescent="0.25">
      <c r="B57" s="166" t="s">
        <v>468</v>
      </c>
      <c r="C57" s="163" t="s">
        <v>469</v>
      </c>
    </row>
    <row r="58" spans="2:3" x14ac:dyDescent="0.25">
      <c r="B58" s="166"/>
      <c r="C58" s="1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opLeftCell="A13" zoomScale="80" zoomScaleNormal="80" workbookViewId="0">
      <selection activeCell="K31" sqref="K31"/>
    </sheetView>
  </sheetViews>
  <sheetFormatPr baseColWidth="10" defaultRowHeight="15" x14ac:dyDescent="0.25"/>
  <cols>
    <col min="1" max="1" width="7.140625" customWidth="1"/>
    <col min="2" max="2" width="46.140625" customWidth="1"/>
    <col min="3" max="3" width="11.85546875" customWidth="1"/>
    <col min="4" max="4" width="18" customWidth="1"/>
    <col min="5" max="5" width="15.42578125" customWidth="1"/>
    <col min="6" max="12" width="20.7109375" customWidth="1"/>
    <col min="13" max="13" width="23" customWidth="1"/>
  </cols>
  <sheetData>
    <row r="2" spans="2:13" ht="18.75" x14ac:dyDescent="0.3">
      <c r="B2" s="94" t="s">
        <v>252</v>
      </c>
      <c r="C2" s="94"/>
      <c r="D2" s="95"/>
      <c r="E2" s="95"/>
      <c r="F2" s="95"/>
      <c r="G2" s="95"/>
      <c r="H2" s="95"/>
      <c r="I2" s="95"/>
      <c r="J2" s="95"/>
      <c r="K2" s="95"/>
      <c r="L2" s="95"/>
    </row>
    <row r="3" spans="2:13" ht="39.950000000000003" customHeight="1" x14ac:dyDescent="0.25">
      <c r="B3" s="96"/>
      <c r="C3" s="96"/>
      <c r="D3" s="14"/>
      <c r="E3" s="97"/>
      <c r="F3" s="221" t="s">
        <v>251</v>
      </c>
      <c r="G3" s="222"/>
      <c r="H3" s="222"/>
      <c r="I3" s="222"/>
      <c r="J3" s="222"/>
      <c r="K3" s="222"/>
      <c r="L3" s="223"/>
      <c r="M3" s="97"/>
    </row>
    <row r="4" spans="2:13" ht="39.950000000000003" customHeight="1" x14ac:dyDescent="0.25">
      <c r="B4" s="96"/>
      <c r="C4" s="96"/>
      <c r="D4" s="98"/>
      <c r="E4" s="98" t="s">
        <v>221</v>
      </c>
      <c r="F4" s="98" t="s">
        <v>1</v>
      </c>
      <c r="G4" s="98" t="s">
        <v>2</v>
      </c>
      <c r="H4" s="98" t="s">
        <v>3</v>
      </c>
      <c r="I4" s="99" t="s">
        <v>4</v>
      </c>
      <c r="J4" s="99" t="s">
        <v>5</v>
      </c>
      <c r="K4" s="99" t="s">
        <v>6</v>
      </c>
      <c r="L4" s="99" t="s">
        <v>6</v>
      </c>
      <c r="M4" s="100" t="s">
        <v>182</v>
      </c>
    </row>
    <row r="5" spans="2:13" ht="39.950000000000003" customHeight="1" x14ac:dyDescent="0.25">
      <c r="B5" s="127" t="s">
        <v>202</v>
      </c>
      <c r="C5" s="127"/>
      <c r="D5" s="14"/>
      <c r="E5" s="101"/>
      <c r="F5" s="88" t="s">
        <v>8</v>
      </c>
      <c r="G5" s="88" t="s">
        <v>8</v>
      </c>
      <c r="H5" s="88" t="s">
        <v>9</v>
      </c>
      <c r="I5" s="88" t="s">
        <v>10</v>
      </c>
      <c r="J5" s="88" t="s">
        <v>10</v>
      </c>
      <c r="K5" s="88" t="s">
        <v>199</v>
      </c>
      <c r="L5" s="88" t="s">
        <v>10</v>
      </c>
      <c r="M5" s="97"/>
    </row>
    <row r="6" spans="2:13" ht="39.950000000000003" customHeight="1" x14ac:dyDescent="0.25">
      <c r="B6" s="104" t="s">
        <v>203</v>
      </c>
      <c r="C6" s="186" t="s">
        <v>12</v>
      </c>
      <c r="E6" s="103" t="s">
        <v>201</v>
      </c>
      <c r="F6" s="93">
        <v>3863000</v>
      </c>
      <c r="G6" s="93">
        <v>5006000</v>
      </c>
      <c r="H6" s="93">
        <v>28251000</v>
      </c>
      <c r="I6" s="93">
        <v>941800</v>
      </c>
      <c r="J6" s="93">
        <v>208120</v>
      </c>
      <c r="K6" s="93">
        <v>56447000</v>
      </c>
      <c r="L6" s="93">
        <v>56447000</v>
      </c>
      <c r="M6" s="97"/>
    </row>
    <row r="7" spans="2:13" ht="39.950000000000003" customHeight="1" x14ac:dyDescent="0.25">
      <c r="B7" s="104" t="s">
        <v>13</v>
      </c>
      <c r="C7" s="104"/>
      <c r="D7" s="105"/>
      <c r="E7" s="103"/>
      <c r="F7" s="88" t="s">
        <v>14</v>
      </c>
      <c r="G7" s="88" t="s">
        <v>14</v>
      </c>
      <c r="H7" s="88" t="s">
        <v>14</v>
      </c>
      <c r="I7" s="88" t="s">
        <v>15</v>
      </c>
      <c r="J7" s="106" t="s">
        <v>153</v>
      </c>
      <c r="K7" s="88" t="s">
        <v>14</v>
      </c>
      <c r="L7" s="88" t="s">
        <v>14</v>
      </c>
      <c r="M7" s="97"/>
    </row>
    <row r="8" spans="2:13" ht="39.950000000000003" customHeight="1" x14ac:dyDescent="0.25">
      <c r="B8" s="107" t="s">
        <v>218</v>
      </c>
      <c r="C8" s="186" t="s">
        <v>290</v>
      </c>
      <c r="E8" s="103" t="s">
        <v>204</v>
      </c>
      <c r="F8" s="108">
        <v>0.9</v>
      </c>
      <c r="G8" s="108">
        <v>0.9</v>
      </c>
      <c r="H8" s="108">
        <v>1.1000000000000001</v>
      </c>
      <c r="I8" s="108">
        <v>0.14000000000000001</v>
      </c>
      <c r="J8" s="108">
        <v>0.15</v>
      </c>
      <c r="K8" s="108">
        <v>0.18</v>
      </c>
      <c r="L8" s="108">
        <v>0.126</v>
      </c>
      <c r="M8" s="97"/>
    </row>
    <row r="9" spans="2:13" ht="27" customHeight="1" x14ac:dyDescent="0.25">
      <c r="B9" s="104" t="s">
        <v>13</v>
      </c>
      <c r="C9" s="104"/>
      <c r="D9" s="109"/>
      <c r="E9" s="103"/>
      <c r="F9" s="88" t="s">
        <v>291</v>
      </c>
      <c r="G9" s="88" t="s">
        <v>291</v>
      </c>
      <c r="H9" s="88" t="s">
        <v>291</v>
      </c>
      <c r="I9" s="88" t="s">
        <v>292</v>
      </c>
      <c r="J9" s="88" t="s">
        <v>292</v>
      </c>
      <c r="K9" s="88" t="s">
        <v>216</v>
      </c>
      <c r="L9" s="88" t="s">
        <v>293</v>
      </c>
      <c r="M9" s="97"/>
    </row>
    <row r="10" spans="2:13" ht="39.950000000000003" customHeight="1" x14ac:dyDescent="0.25">
      <c r="B10" s="104" t="s">
        <v>206</v>
      </c>
      <c r="C10" s="104" t="s">
        <v>525</v>
      </c>
      <c r="D10" s="102" t="s">
        <v>527</v>
      </c>
      <c r="E10" s="103" t="s">
        <v>207</v>
      </c>
      <c r="F10" s="93">
        <f t="shared" ref="F10:L10" si="0">F6*F8</f>
        <v>3476700</v>
      </c>
      <c r="G10" s="93">
        <f t="shared" si="0"/>
        <v>4505400</v>
      </c>
      <c r="H10" s="93">
        <f t="shared" si="0"/>
        <v>31076100.000000004</v>
      </c>
      <c r="I10" s="93">
        <f t="shared" si="0"/>
        <v>131852</v>
      </c>
      <c r="J10" s="93">
        <f t="shared" si="0"/>
        <v>31218</v>
      </c>
      <c r="K10" s="93">
        <f t="shared" si="0"/>
        <v>10160460</v>
      </c>
      <c r="L10" s="93">
        <f t="shared" si="0"/>
        <v>7112322</v>
      </c>
      <c r="M10" s="90">
        <f>SUM(F10:L10)</f>
        <v>56494052</v>
      </c>
    </row>
    <row r="11" spans="2:13" ht="39.950000000000003" customHeight="1" x14ac:dyDescent="0.25">
      <c r="B11" s="107" t="s">
        <v>208</v>
      </c>
      <c r="C11" s="186" t="s">
        <v>294</v>
      </c>
      <c r="D11" s="103" t="s">
        <v>226</v>
      </c>
      <c r="E11" s="103" t="s">
        <v>295</v>
      </c>
      <c r="F11" s="110">
        <v>0.6</v>
      </c>
      <c r="G11" s="110">
        <v>0.5</v>
      </c>
      <c r="H11" s="110">
        <v>0.5</v>
      </c>
      <c r="I11" s="110">
        <v>0.9</v>
      </c>
      <c r="J11" s="110">
        <v>0.9</v>
      </c>
      <c r="K11" s="110">
        <v>0.5</v>
      </c>
      <c r="L11" s="110">
        <v>0.95</v>
      </c>
      <c r="M11" s="90"/>
    </row>
    <row r="12" spans="2:13" ht="39.950000000000003" customHeight="1" x14ac:dyDescent="0.25">
      <c r="B12" s="104" t="s">
        <v>209</v>
      </c>
      <c r="C12" s="104" t="s">
        <v>526</v>
      </c>
      <c r="D12" s="102" t="s">
        <v>529</v>
      </c>
      <c r="E12" s="103" t="s">
        <v>207</v>
      </c>
      <c r="F12" s="93">
        <f t="shared" ref="F12:L12" si="1">F11*F10</f>
        <v>2086020</v>
      </c>
      <c r="G12" s="93">
        <f t="shared" si="1"/>
        <v>2252700</v>
      </c>
      <c r="H12" s="93">
        <f t="shared" si="1"/>
        <v>15538050.000000002</v>
      </c>
      <c r="I12" s="93">
        <f t="shared" si="1"/>
        <v>118666.8</v>
      </c>
      <c r="J12" s="93">
        <f t="shared" si="1"/>
        <v>28096.2</v>
      </c>
      <c r="K12" s="93">
        <f t="shared" si="1"/>
        <v>5080230</v>
      </c>
      <c r="L12" s="93">
        <f t="shared" si="1"/>
        <v>6756705.8999999994</v>
      </c>
      <c r="M12" s="90">
        <f>SUM(F12:L12)</f>
        <v>31860468.899999999</v>
      </c>
    </row>
    <row r="13" spans="2:13" ht="42.75" customHeight="1" x14ac:dyDescent="0.25">
      <c r="B13" s="107" t="s">
        <v>296</v>
      </c>
      <c r="C13" s="186" t="s">
        <v>297</v>
      </c>
      <c r="D13" s="103" t="s">
        <v>226</v>
      </c>
      <c r="E13" s="103" t="s">
        <v>295</v>
      </c>
      <c r="F13" s="110">
        <v>0.1</v>
      </c>
      <c r="G13" s="110">
        <v>0.1</v>
      </c>
      <c r="H13" s="110">
        <v>0.15</v>
      </c>
      <c r="I13" s="110">
        <v>0.8</v>
      </c>
      <c r="J13" s="110">
        <v>0.7</v>
      </c>
      <c r="K13" s="110">
        <f>0.9*0.18</f>
        <v>0.16200000000000001</v>
      </c>
      <c r="L13" s="110">
        <v>0.1</v>
      </c>
      <c r="M13" s="97"/>
    </row>
    <row r="14" spans="2:13" ht="39.950000000000003" customHeight="1" x14ac:dyDescent="0.25">
      <c r="B14" s="104" t="s">
        <v>210</v>
      </c>
      <c r="C14" s="104" t="s">
        <v>264</v>
      </c>
      <c r="D14" s="102" t="s">
        <v>528</v>
      </c>
      <c r="E14" s="103" t="s">
        <v>207</v>
      </c>
      <c r="F14" s="93">
        <f t="shared" ref="F14:L14" si="2">F13*F12</f>
        <v>208602</v>
      </c>
      <c r="G14" s="93">
        <f t="shared" si="2"/>
        <v>225270</v>
      </c>
      <c r="H14" s="93">
        <f t="shared" si="2"/>
        <v>2330707.5</v>
      </c>
      <c r="I14" s="93">
        <f t="shared" si="2"/>
        <v>94933.440000000002</v>
      </c>
      <c r="J14" s="93">
        <f t="shared" si="2"/>
        <v>19667.34</v>
      </c>
      <c r="K14" s="93">
        <f t="shared" si="2"/>
        <v>822997.26</v>
      </c>
      <c r="L14" s="93">
        <f t="shared" si="2"/>
        <v>675670.59</v>
      </c>
      <c r="M14" s="90">
        <f>SUM(F14:L14)</f>
        <v>4377848.13</v>
      </c>
    </row>
    <row r="15" spans="2:13" ht="39.950000000000003" customHeight="1" x14ac:dyDescent="0.25">
      <c r="B15" s="111" t="s">
        <v>298</v>
      </c>
      <c r="C15" s="186" t="s">
        <v>299</v>
      </c>
      <c r="D15" s="14"/>
      <c r="E15" s="103"/>
      <c r="F15" s="110">
        <v>0.09</v>
      </c>
      <c r="G15" s="110">
        <v>0.08</v>
      </c>
      <c r="H15" s="110">
        <v>7.0000000000000007E-2</v>
      </c>
      <c r="I15" s="110">
        <v>0.04</v>
      </c>
      <c r="J15" s="110">
        <v>0.06</v>
      </c>
      <c r="K15" s="112">
        <v>0.1</v>
      </c>
      <c r="L15" s="110">
        <v>0.02</v>
      </c>
      <c r="M15" s="14"/>
    </row>
    <row r="16" spans="2:13" ht="39.950000000000003" customHeight="1" x14ac:dyDescent="0.25">
      <c r="B16" s="111" t="s">
        <v>300</v>
      </c>
      <c r="C16" s="186" t="s">
        <v>211</v>
      </c>
      <c r="D16" s="14"/>
      <c r="E16" s="103"/>
      <c r="F16" s="110">
        <v>20</v>
      </c>
      <c r="G16" s="110">
        <v>20</v>
      </c>
      <c r="H16" s="110">
        <v>20</v>
      </c>
      <c r="I16" s="110">
        <v>20</v>
      </c>
      <c r="J16" s="110">
        <v>20</v>
      </c>
      <c r="K16" s="110">
        <v>20</v>
      </c>
      <c r="L16" s="110">
        <v>20</v>
      </c>
      <c r="M16" s="14"/>
    </row>
    <row r="17" spans="1:13" ht="39.950000000000003" customHeight="1" x14ac:dyDescent="0.25">
      <c r="B17" s="104" t="s">
        <v>532</v>
      </c>
      <c r="C17" s="104" t="s">
        <v>531</v>
      </c>
      <c r="D17" s="102" t="s">
        <v>530</v>
      </c>
      <c r="E17" s="103" t="s">
        <v>212</v>
      </c>
      <c r="F17" s="113">
        <f t="shared" ref="F17:L17" si="3">F16*(1-F15)</f>
        <v>18.2</v>
      </c>
      <c r="G17" s="113">
        <f t="shared" si="3"/>
        <v>18.400000000000002</v>
      </c>
      <c r="H17" s="113">
        <f t="shared" si="3"/>
        <v>18.599999999999998</v>
      </c>
      <c r="I17" s="113">
        <f t="shared" si="3"/>
        <v>19.2</v>
      </c>
      <c r="J17" s="113">
        <f t="shared" si="3"/>
        <v>18.799999999999997</v>
      </c>
      <c r="K17" s="113">
        <f t="shared" si="3"/>
        <v>18</v>
      </c>
      <c r="L17" s="113">
        <f t="shared" si="3"/>
        <v>19.600000000000001</v>
      </c>
      <c r="M17" s="97"/>
    </row>
    <row r="18" spans="1:13" ht="39.950000000000003" customHeight="1" x14ac:dyDescent="0.25">
      <c r="B18" s="104" t="s">
        <v>213</v>
      </c>
      <c r="C18" s="104" t="s">
        <v>266</v>
      </c>
      <c r="D18" s="102" t="s">
        <v>533</v>
      </c>
      <c r="E18" s="103" t="s">
        <v>214</v>
      </c>
      <c r="F18" s="93">
        <f t="shared" ref="F18:L18" si="4">F17*F14</f>
        <v>3796556.4</v>
      </c>
      <c r="G18" s="93">
        <f t="shared" si="4"/>
        <v>4144968.0000000005</v>
      </c>
      <c r="H18" s="93">
        <f t="shared" si="4"/>
        <v>43351159.499999993</v>
      </c>
      <c r="I18" s="93">
        <f t="shared" si="4"/>
        <v>1822722.048</v>
      </c>
      <c r="J18" s="93">
        <f t="shared" si="4"/>
        <v>369745.99199999997</v>
      </c>
      <c r="K18" s="93">
        <f t="shared" si="4"/>
        <v>14813950.68</v>
      </c>
      <c r="L18" s="93">
        <f t="shared" si="4"/>
        <v>13243143.564000001</v>
      </c>
      <c r="M18" s="90">
        <f>SUM(F18:L18)</f>
        <v>81542246.183999985</v>
      </c>
    </row>
    <row r="19" spans="1:13" ht="39.950000000000003" customHeight="1" x14ac:dyDescent="0.25">
      <c r="B19" s="104" t="s">
        <v>213</v>
      </c>
      <c r="C19" s="104" t="s">
        <v>266</v>
      </c>
      <c r="D19" s="102" t="s">
        <v>523</v>
      </c>
      <c r="E19" s="103" t="s">
        <v>301</v>
      </c>
      <c r="F19" s="90">
        <f>F18/1000</f>
        <v>3796.5563999999999</v>
      </c>
      <c r="G19" s="90">
        <f t="shared" ref="G19:M19" si="5">G18/1000</f>
        <v>4144.9680000000008</v>
      </c>
      <c r="H19" s="90">
        <f t="shared" si="5"/>
        <v>43351.159499999994</v>
      </c>
      <c r="I19" s="90">
        <f t="shared" si="5"/>
        <v>1822.7220479999999</v>
      </c>
      <c r="J19" s="90">
        <f t="shared" si="5"/>
        <v>369.74599199999994</v>
      </c>
      <c r="K19" s="90">
        <f t="shared" si="5"/>
        <v>14813.95068</v>
      </c>
      <c r="L19" s="90">
        <f t="shared" si="5"/>
        <v>13243.143564000002</v>
      </c>
      <c r="M19" s="90">
        <f t="shared" si="5"/>
        <v>81542.246183999989</v>
      </c>
    </row>
    <row r="20" spans="1:13" ht="43.5" customHeight="1" x14ac:dyDescent="0.25">
      <c r="F20" s="114">
        <f>F18/$M$18</f>
        <v>4.6559379679498587E-2</v>
      </c>
      <c r="G20" s="114">
        <f t="shared" ref="G20:M20" si="6">G18/$M$18</f>
        <v>5.0832153809534319E-2</v>
      </c>
      <c r="H20" s="114">
        <f t="shared" si="6"/>
        <v>0.53164048733926406</v>
      </c>
      <c r="I20" s="114">
        <f t="shared" si="6"/>
        <v>2.2353100794979694E-2</v>
      </c>
      <c r="J20" s="114">
        <f t="shared" si="6"/>
        <v>4.5344101898501616E-3</v>
      </c>
      <c r="K20" s="114">
        <f t="shared" si="6"/>
        <v>0.18167209481294319</v>
      </c>
      <c r="L20" s="114">
        <f t="shared" si="6"/>
        <v>0.16240837337393016</v>
      </c>
      <c r="M20" s="114">
        <f t="shared" si="6"/>
        <v>1</v>
      </c>
    </row>
    <row r="23" spans="1:13" x14ac:dyDescent="0.25">
      <c r="A23" s="31"/>
      <c r="B23" s="31" t="s">
        <v>308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58.5" customHeight="1" x14ac:dyDescent="0.25">
      <c r="A24" s="31"/>
      <c r="B24" s="233" t="s">
        <v>302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ht="42.75" customHeight="1" x14ac:dyDescent="0.25">
      <c r="A25" s="115" t="s">
        <v>291</v>
      </c>
      <c r="B25" s="233" t="s">
        <v>303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3" ht="40.5" customHeight="1" x14ac:dyDescent="0.25">
      <c r="A26" s="115" t="s">
        <v>293</v>
      </c>
      <c r="B26" s="233" t="s">
        <v>304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ht="36" customHeight="1" x14ac:dyDescent="0.25">
      <c r="A27" s="115" t="s">
        <v>292</v>
      </c>
      <c r="B27" s="233" t="s">
        <v>305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ht="43.5" customHeight="1" x14ac:dyDescent="0.25">
      <c r="A28" s="31"/>
      <c r="B28" s="233" t="s">
        <v>306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59.25" customHeight="1" x14ac:dyDescent="0.25">
      <c r="A29" s="31"/>
      <c r="B29" s="233" t="s">
        <v>307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29.25" customHeight="1" x14ac:dyDescent="0.25"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ht="73.5" customHeight="1" x14ac:dyDescent="0.25">
      <c r="B31" s="217" t="s">
        <v>194</v>
      </c>
      <c r="C31" s="218"/>
      <c r="D31" s="218"/>
      <c r="E31" s="218"/>
      <c r="F31" s="218"/>
      <c r="G31" s="218"/>
      <c r="H31" s="218"/>
      <c r="I31" s="218"/>
      <c r="J31" s="219"/>
      <c r="K31" s="48">
        <f>SUM(F19:L19)</f>
        <v>81542.246183999989</v>
      </c>
      <c r="L31" s="117"/>
      <c r="M31" s="117"/>
    </row>
    <row r="35" spans="2:12" ht="18.75" x14ac:dyDescent="0.3">
      <c r="B35" s="118" t="s">
        <v>252</v>
      </c>
      <c r="C35" s="118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2:12" x14ac:dyDescent="0.25">
      <c r="B36" s="119"/>
      <c r="C36" s="119"/>
      <c r="D36" s="119"/>
      <c r="E36" s="232" t="s">
        <v>251</v>
      </c>
      <c r="F36" s="232"/>
      <c r="G36" s="232"/>
      <c r="H36" s="232"/>
      <c r="I36" s="232"/>
      <c r="J36" s="232"/>
      <c r="K36" s="232"/>
      <c r="L36" s="119"/>
    </row>
    <row r="37" spans="2:12" x14ac:dyDescent="0.25">
      <c r="B37" s="119"/>
      <c r="C37" s="119"/>
      <c r="D37" s="120" t="s">
        <v>200</v>
      </c>
      <c r="E37" s="120" t="s">
        <v>1</v>
      </c>
      <c r="F37" s="120" t="s">
        <v>2</v>
      </c>
      <c r="G37" s="120" t="s">
        <v>3</v>
      </c>
      <c r="H37" s="120" t="s">
        <v>4</v>
      </c>
      <c r="I37" s="120" t="s">
        <v>5</v>
      </c>
      <c r="J37" s="120" t="s">
        <v>6</v>
      </c>
      <c r="K37" s="120" t="s">
        <v>6</v>
      </c>
      <c r="L37" s="119"/>
    </row>
    <row r="38" spans="2:12" x14ac:dyDescent="0.25">
      <c r="B38" s="121" t="s">
        <v>202</v>
      </c>
      <c r="C38" s="121"/>
      <c r="D38" s="119"/>
      <c r="E38" s="74" t="s">
        <v>8</v>
      </c>
      <c r="F38" s="74" t="s">
        <v>8</v>
      </c>
      <c r="G38" s="74" t="s">
        <v>9</v>
      </c>
      <c r="H38" s="74" t="s">
        <v>10</v>
      </c>
      <c r="I38" s="74" t="s">
        <v>10</v>
      </c>
      <c r="J38" s="74" t="s">
        <v>199</v>
      </c>
      <c r="K38" s="74" t="s">
        <v>10</v>
      </c>
      <c r="L38" s="119"/>
    </row>
    <row r="39" spans="2:12" x14ac:dyDescent="0.25">
      <c r="B39" s="122" t="s">
        <v>203</v>
      </c>
      <c r="C39" s="122"/>
      <c r="D39" s="123" t="s">
        <v>201</v>
      </c>
      <c r="E39" s="75">
        <v>3863000</v>
      </c>
      <c r="F39" s="75">
        <v>5006000</v>
      </c>
      <c r="G39" s="75">
        <v>28251000</v>
      </c>
      <c r="H39" s="75">
        <v>941800</v>
      </c>
      <c r="I39" s="75">
        <v>208120</v>
      </c>
      <c r="J39" s="75">
        <v>56447000</v>
      </c>
      <c r="K39" s="75">
        <v>56447000</v>
      </c>
      <c r="L39" s="119"/>
    </row>
    <row r="40" spans="2:12" ht="18.75" x14ac:dyDescent="0.3">
      <c r="B40" s="77" t="s">
        <v>13</v>
      </c>
      <c r="C40" s="77"/>
      <c r="D40" s="124"/>
      <c r="E40" s="74" t="s">
        <v>14</v>
      </c>
      <c r="F40" s="74" t="s">
        <v>14</v>
      </c>
      <c r="G40" s="74" t="s">
        <v>14</v>
      </c>
      <c r="H40" s="74" t="s">
        <v>15</v>
      </c>
      <c r="I40" s="74" t="s">
        <v>153</v>
      </c>
      <c r="J40" s="74" t="s">
        <v>14</v>
      </c>
      <c r="K40" s="74" t="s">
        <v>14</v>
      </c>
      <c r="L40" s="119"/>
    </row>
    <row r="41" spans="2:12" ht="37.5" x14ac:dyDescent="0.3">
      <c r="B41" s="78" t="s">
        <v>218</v>
      </c>
      <c r="C41" s="78"/>
      <c r="D41" s="79" t="s">
        <v>204</v>
      </c>
      <c r="E41" s="76">
        <v>0.9</v>
      </c>
      <c r="F41" s="76">
        <v>0.9</v>
      </c>
      <c r="G41" s="76">
        <v>1.1000000000000001</v>
      </c>
      <c r="H41" s="76">
        <v>0.14000000000000001</v>
      </c>
      <c r="I41" s="76">
        <v>0.15</v>
      </c>
      <c r="J41" s="76">
        <v>0.18</v>
      </c>
      <c r="K41" s="76">
        <v>0.126</v>
      </c>
      <c r="L41" s="119"/>
    </row>
    <row r="42" spans="2:12" ht="18.75" x14ac:dyDescent="0.3">
      <c r="B42" s="77" t="s">
        <v>205</v>
      </c>
      <c r="C42" s="77"/>
      <c r="D42" s="79"/>
      <c r="E42" s="83" t="s">
        <v>260</v>
      </c>
      <c r="F42" s="83" t="s">
        <v>260</v>
      </c>
      <c r="G42" s="83" t="s">
        <v>260</v>
      </c>
      <c r="H42" s="84" t="s">
        <v>215</v>
      </c>
      <c r="I42" s="84" t="s">
        <v>215</v>
      </c>
      <c r="J42" s="84" t="s">
        <v>216</v>
      </c>
      <c r="K42" s="83" t="s">
        <v>261</v>
      </c>
      <c r="L42" s="119"/>
    </row>
    <row r="43" spans="2:12" ht="18.75" x14ac:dyDescent="0.3">
      <c r="B43" s="77" t="s">
        <v>206</v>
      </c>
      <c r="C43" s="77"/>
      <c r="D43" s="80" t="s">
        <v>207</v>
      </c>
      <c r="E43" s="75">
        <f>E39*E41</f>
        <v>3476700</v>
      </c>
      <c r="F43" s="75">
        <f t="shared" ref="F43:K43" si="7">F39*F41</f>
        <v>4505400</v>
      </c>
      <c r="G43" s="75">
        <f t="shared" si="7"/>
        <v>31076100.000000004</v>
      </c>
      <c r="H43" s="75">
        <f t="shared" si="7"/>
        <v>131852</v>
      </c>
      <c r="I43" s="75">
        <f t="shared" si="7"/>
        <v>31218</v>
      </c>
      <c r="J43" s="75">
        <f t="shared" si="7"/>
        <v>10160460</v>
      </c>
      <c r="K43" s="75">
        <f t="shared" si="7"/>
        <v>7112322</v>
      </c>
      <c r="L43" s="81">
        <f>SUM(E43:K43)</f>
        <v>56494052</v>
      </c>
    </row>
    <row r="44" spans="2:12" ht="37.5" x14ac:dyDescent="0.3">
      <c r="B44" s="78" t="s">
        <v>208</v>
      </c>
      <c r="C44" s="78"/>
      <c r="D44" s="79"/>
      <c r="E44" s="76">
        <v>0.6</v>
      </c>
      <c r="F44" s="76">
        <v>0.5</v>
      </c>
      <c r="G44" s="76">
        <v>0.5</v>
      </c>
      <c r="H44" s="76">
        <v>0.9</v>
      </c>
      <c r="I44" s="76">
        <v>0.9</v>
      </c>
      <c r="J44" s="76">
        <v>0.5</v>
      </c>
      <c r="K44" s="76">
        <v>0.95</v>
      </c>
      <c r="L44" s="119"/>
    </row>
    <row r="45" spans="2:12" ht="18.75" x14ac:dyDescent="0.3">
      <c r="B45" s="77" t="s">
        <v>209</v>
      </c>
      <c r="C45" s="77"/>
      <c r="D45" s="80" t="s">
        <v>207</v>
      </c>
      <c r="E45" s="75">
        <f>E44*E43</f>
        <v>2086020</v>
      </c>
      <c r="F45" s="75">
        <f t="shared" ref="F45:K45" si="8">F44*F43</f>
        <v>2252700</v>
      </c>
      <c r="G45" s="75">
        <f t="shared" si="8"/>
        <v>15538050.000000002</v>
      </c>
      <c r="H45" s="75">
        <f t="shared" si="8"/>
        <v>118666.8</v>
      </c>
      <c r="I45" s="75">
        <f t="shared" si="8"/>
        <v>28096.2</v>
      </c>
      <c r="J45" s="75">
        <f t="shared" si="8"/>
        <v>5080230</v>
      </c>
      <c r="K45" s="75">
        <f t="shared" si="8"/>
        <v>6756705.8999999994</v>
      </c>
      <c r="L45" s="81">
        <f>SUM(E45:K45)</f>
        <v>31860468.899999999</v>
      </c>
    </row>
    <row r="46" spans="2:12" ht="18.75" x14ac:dyDescent="0.3">
      <c r="B46" s="78" t="s">
        <v>219</v>
      </c>
      <c r="C46" s="78"/>
      <c r="D46" s="79"/>
      <c r="E46" s="76">
        <v>0.1</v>
      </c>
      <c r="F46" s="76">
        <v>0.1</v>
      </c>
      <c r="G46" s="76">
        <v>0.15</v>
      </c>
      <c r="H46" s="76">
        <v>0.8</v>
      </c>
      <c r="I46" s="76">
        <v>0.7</v>
      </c>
      <c r="J46" s="76">
        <f>0.9*0.18</f>
        <v>0.16200000000000001</v>
      </c>
      <c r="K46" s="76">
        <v>0.1</v>
      </c>
      <c r="L46" s="119"/>
    </row>
    <row r="47" spans="2:12" ht="18.75" x14ac:dyDescent="0.3">
      <c r="B47" s="77" t="s">
        <v>210</v>
      </c>
      <c r="C47" s="77"/>
      <c r="D47" s="80" t="s">
        <v>207</v>
      </c>
      <c r="E47" s="75">
        <f>E46*E45</f>
        <v>208602</v>
      </c>
      <c r="F47" s="75">
        <f t="shared" ref="F47:K47" si="9">F46*F45</f>
        <v>225270</v>
      </c>
      <c r="G47" s="75">
        <f t="shared" si="9"/>
        <v>2330707.5</v>
      </c>
      <c r="H47" s="75">
        <f t="shared" si="9"/>
        <v>94933.440000000002</v>
      </c>
      <c r="I47" s="75">
        <f t="shared" si="9"/>
        <v>19667.34</v>
      </c>
      <c r="J47" s="75">
        <f t="shared" si="9"/>
        <v>822997.26</v>
      </c>
      <c r="K47" s="75">
        <f t="shared" si="9"/>
        <v>675670.59</v>
      </c>
      <c r="L47" s="81">
        <f>SUM(E47:K47)</f>
        <v>4377848.13</v>
      </c>
    </row>
    <row r="48" spans="2:12" ht="18.75" x14ac:dyDescent="0.3">
      <c r="B48" s="77" t="s">
        <v>217</v>
      </c>
      <c r="C48" s="77"/>
      <c r="D48" s="79" t="s">
        <v>212</v>
      </c>
      <c r="E48" s="76">
        <f>20*0.91</f>
        <v>18.2</v>
      </c>
      <c r="F48" s="76">
        <f>20*0.92</f>
        <v>18.400000000000002</v>
      </c>
      <c r="G48" s="76">
        <f>20*0.93</f>
        <v>18.600000000000001</v>
      </c>
      <c r="H48" s="76">
        <f>20*0.96</f>
        <v>19.2</v>
      </c>
      <c r="I48" s="76">
        <f>20*0.94</f>
        <v>18.799999999999997</v>
      </c>
      <c r="J48" s="125">
        <f>20*0.9</f>
        <v>18</v>
      </c>
      <c r="K48" s="76">
        <f>20*0.98</f>
        <v>19.600000000000001</v>
      </c>
      <c r="L48" s="119"/>
    </row>
    <row r="49" spans="2:12" ht="18.75" x14ac:dyDescent="0.3">
      <c r="B49" s="77" t="s">
        <v>213</v>
      </c>
      <c r="C49" s="77"/>
      <c r="D49" s="80" t="s">
        <v>214</v>
      </c>
      <c r="E49" s="75">
        <f>E48*E47</f>
        <v>3796556.4</v>
      </c>
      <c r="F49" s="75">
        <f t="shared" ref="F49:K49" si="10">F48*F47</f>
        <v>4144968.0000000005</v>
      </c>
      <c r="G49" s="75">
        <f t="shared" si="10"/>
        <v>43351159.5</v>
      </c>
      <c r="H49" s="75">
        <f t="shared" si="10"/>
        <v>1822722.048</v>
      </c>
      <c r="I49" s="75">
        <f t="shared" si="10"/>
        <v>369745.99199999997</v>
      </c>
      <c r="J49" s="75">
        <f t="shared" si="10"/>
        <v>14813950.68</v>
      </c>
      <c r="K49" s="75">
        <f t="shared" si="10"/>
        <v>13243143.564000001</v>
      </c>
      <c r="L49" s="81">
        <f>SUM(E49:K49)</f>
        <v>81542246.184</v>
      </c>
    </row>
    <row r="50" spans="2:12" ht="18.75" x14ac:dyDescent="0.3">
      <c r="B50" s="124"/>
      <c r="C50" s="124"/>
      <c r="D50" s="124"/>
      <c r="E50" s="126" t="e">
        <f>E49/$V$13</f>
        <v>#DIV/0!</v>
      </c>
      <c r="F50" s="126" t="e">
        <f t="shared" ref="F50:K50" si="11">F49/$V$13</f>
        <v>#DIV/0!</v>
      </c>
      <c r="G50" s="126" t="e">
        <f t="shared" si="11"/>
        <v>#DIV/0!</v>
      </c>
      <c r="H50" s="126" t="e">
        <f t="shared" si="11"/>
        <v>#DIV/0!</v>
      </c>
      <c r="I50" s="126" t="e">
        <f t="shared" si="11"/>
        <v>#DIV/0!</v>
      </c>
      <c r="J50" s="126" t="e">
        <f t="shared" si="11"/>
        <v>#DIV/0!</v>
      </c>
      <c r="K50" s="126" t="e">
        <f t="shared" si="11"/>
        <v>#DIV/0!</v>
      </c>
      <c r="L50" s="126" t="e">
        <f>L49/$V$13</f>
        <v>#DIV/0!</v>
      </c>
    </row>
  </sheetData>
  <mergeCells count="9">
    <mergeCell ref="E36:K36"/>
    <mergeCell ref="F3:L3"/>
    <mergeCell ref="B31:J31"/>
    <mergeCell ref="B24:M24"/>
    <mergeCell ref="B25:M25"/>
    <mergeCell ref="B26:M26"/>
    <mergeCell ref="B27:M27"/>
    <mergeCell ref="B28:M28"/>
    <mergeCell ref="B29:M29"/>
  </mergeCells>
  <hyperlinks>
    <hyperlink ref="B25" r:id="rId1" display="https://www.gob.mx/cms/uploads/attachment/file/275444/Final_Report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B1" zoomScale="80" zoomScaleNormal="80" workbookViewId="0">
      <selection activeCell="J61" sqref="J61"/>
    </sheetView>
  </sheetViews>
  <sheetFormatPr baseColWidth="10" defaultRowHeight="15" x14ac:dyDescent="0.25"/>
  <cols>
    <col min="1" max="1" width="51.85546875" customWidth="1"/>
    <col min="2" max="2" width="85.85546875" customWidth="1"/>
    <col min="3" max="3" width="45.85546875" customWidth="1"/>
    <col min="4" max="5" width="20.7109375" customWidth="1"/>
    <col min="6" max="6" width="23.42578125" customWidth="1"/>
    <col min="7" max="7" width="29.140625" customWidth="1"/>
    <col min="8" max="11" width="20.7109375" customWidth="1"/>
    <col min="13" max="13" width="29.7109375" customWidth="1"/>
    <col min="14" max="14" width="7.28515625" customWidth="1"/>
    <col min="16" max="16" width="16.140625" customWidth="1"/>
    <col min="17" max="17" width="17.140625" customWidth="1"/>
    <col min="18" max="18" width="15.5703125" customWidth="1"/>
    <col min="19" max="19" width="13.85546875" customWidth="1"/>
    <col min="21" max="21" width="11.85546875" customWidth="1"/>
    <col min="23" max="23" width="17.28515625" customWidth="1"/>
  </cols>
  <sheetData>
    <row r="1" spans="1:11" ht="38.25" customHeight="1" x14ac:dyDescent="0.25">
      <c r="B1" s="3" t="s">
        <v>106</v>
      </c>
    </row>
    <row r="2" spans="1:11" ht="27" customHeight="1" x14ac:dyDescent="0.25">
      <c r="B2" s="3"/>
    </row>
    <row r="3" spans="1:11" ht="39" customHeight="1" x14ac:dyDescent="0.25">
      <c r="A3" s="160" t="s">
        <v>481</v>
      </c>
      <c r="B3" s="171" t="s">
        <v>40</v>
      </c>
      <c r="C3" s="27"/>
      <c r="D3" s="235" t="s">
        <v>41</v>
      </c>
      <c r="E3" s="236"/>
      <c r="F3" s="236"/>
      <c r="G3" s="236"/>
      <c r="H3" s="236"/>
      <c r="I3" s="236"/>
      <c r="J3" s="237"/>
      <c r="K3" s="71" t="s">
        <v>42</v>
      </c>
    </row>
    <row r="4" spans="1:11" ht="44.1" customHeight="1" x14ac:dyDescent="0.25">
      <c r="A4" s="160" t="s">
        <v>482</v>
      </c>
      <c r="B4" s="171" t="s">
        <v>43</v>
      </c>
      <c r="C4" s="28"/>
      <c r="D4" s="26" t="s">
        <v>44</v>
      </c>
      <c r="E4" s="26" t="s">
        <v>183</v>
      </c>
      <c r="F4" s="26" t="s">
        <v>45</v>
      </c>
      <c r="G4" s="26" t="s">
        <v>184</v>
      </c>
      <c r="H4" s="26" t="s">
        <v>46</v>
      </c>
      <c r="I4" s="26" t="s">
        <v>47</v>
      </c>
      <c r="J4" s="26" t="s">
        <v>48</v>
      </c>
      <c r="K4" s="26" t="s">
        <v>49</v>
      </c>
    </row>
    <row r="5" spans="1:11" ht="24.95" customHeight="1" x14ac:dyDescent="0.25">
      <c r="A5" s="160" t="s">
        <v>483</v>
      </c>
      <c r="B5" s="172" t="s">
        <v>50</v>
      </c>
      <c r="C5" s="58" t="s">
        <v>51</v>
      </c>
      <c r="D5" s="59">
        <v>5040049</v>
      </c>
      <c r="E5" s="59">
        <v>737741</v>
      </c>
      <c r="F5" s="59">
        <v>389670</v>
      </c>
      <c r="G5" s="59">
        <v>296641</v>
      </c>
      <c r="H5" s="59">
        <v>185257</v>
      </c>
      <c r="I5" s="59">
        <v>34266</v>
      </c>
      <c r="J5" s="59">
        <v>31660</v>
      </c>
      <c r="K5" s="58" t="s">
        <v>52</v>
      </c>
    </row>
    <row r="6" spans="1:11" ht="24.95" customHeight="1" x14ac:dyDescent="0.25">
      <c r="A6" s="160" t="s">
        <v>484</v>
      </c>
      <c r="B6" s="172" t="s">
        <v>53</v>
      </c>
      <c r="C6" s="58" t="s">
        <v>54</v>
      </c>
      <c r="D6" s="58">
        <v>0.51</v>
      </c>
      <c r="E6" s="58">
        <v>0.63</v>
      </c>
      <c r="F6" s="58">
        <v>0.6</v>
      </c>
      <c r="G6" s="58">
        <v>0.55000000000000004</v>
      </c>
      <c r="H6" s="58">
        <v>0.55000000000000004</v>
      </c>
      <c r="I6" s="58">
        <v>0.51</v>
      </c>
      <c r="J6" s="58">
        <v>0.7</v>
      </c>
      <c r="K6" s="58" t="s">
        <v>52</v>
      </c>
    </row>
    <row r="7" spans="1:11" ht="33.950000000000003" customHeight="1" x14ac:dyDescent="0.25">
      <c r="A7" s="160" t="s">
        <v>485</v>
      </c>
      <c r="B7" s="172" t="s">
        <v>55</v>
      </c>
      <c r="C7" s="58" t="s">
        <v>56</v>
      </c>
      <c r="D7" s="59">
        <f>D5*D6</f>
        <v>2570424.9900000002</v>
      </c>
      <c r="E7" s="59">
        <f t="shared" ref="E7:J7" si="0">E5*E6</f>
        <v>464776.83</v>
      </c>
      <c r="F7" s="59">
        <f t="shared" si="0"/>
        <v>233802</v>
      </c>
      <c r="G7" s="59">
        <f t="shared" si="0"/>
        <v>163152.55000000002</v>
      </c>
      <c r="H7" s="59">
        <f t="shared" si="0"/>
        <v>101891.35</v>
      </c>
      <c r="I7" s="59">
        <f t="shared" si="0"/>
        <v>17475.66</v>
      </c>
      <c r="J7" s="59">
        <f t="shared" si="0"/>
        <v>22162</v>
      </c>
      <c r="K7" s="58" t="s">
        <v>52</v>
      </c>
    </row>
    <row r="8" spans="1:11" ht="24.95" customHeight="1" x14ac:dyDescent="0.25">
      <c r="A8" s="160" t="s">
        <v>486</v>
      </c>
      <c r="B8" s="172" t="s">
        <v>109</v>
      </c>
      <c r="C8" s="62" t="s">
        <v>57</v>
      </c>
      <c r="D8" s="59">
        <f>D7*(1/0.6)</f>
        <v>4284041.6500000004</v>
      </c>
      <c r="E8" s="59">
        <f t="shared" ref="E8:J8" si="1">E7*(1/0.6)</f>
        <v>774628.05</v>
      </c>
      <c r="F8" s="59">
        <f t="shared" si="1"/>
        <v>389670</v>
      </c>
      <c r="G8" s="59">
        <f t="shared" si="1"/>
        <v>271920.91666666669</v>
      </c>
      <c r="H8" s="59">
        <f t="shared" si="1"/>
        <v>169818.91666666669</v>
      </c>
      <c r="I8" s="59">
        <f t="shared" si="1"/>
        <v>29126.100000000002</v>
      </c>
      <c r="J8" s="59">
        <f t="shared" si="1"/>
        <v>36936.666666666672</v>
      </c>
      <c r="K8" s="59">
        <v>2957711</v>
      </c>
    </row>
    <row r="9" spans="1:11" ht="24.95" customHeight="1" x14ac:dyDescent="0.25">
      <c r="A9" s="160" t="s">
        <v>282</v>
      </c>
      <c r="B9" s="172" t="s">
        <v>13</v>
      </c>
      <c r="C9" s="63"/>
      <c r="D9" s="238" t="s">
        <v>108</v>
      </c>
      <c r="E9" s="239"/>
      <c r="F9" s="239"/>
      <c r="G9" s="239"/>
      <c r="H9" s="239"/>
      <c r="I9" s="239"/>
      <c r="J9" s="240"/>
      <c r="K9" s="64" t="s">
        <v>35</v>
      </c>
    </row>
    <row r="10" spans="1:11" ht="24.95" customHeight="1" x14ac:dyDescent="0.25">
      <c r="A10" s="160" t="s">
        <v>487</v>
      </c>
      <c r="B10" s="234" t="s">
        <v>58</v>
      </c>
      <c r="C10" s="58" t="s">
        <v>59</v>
      </c>
      <c r="D10" s="64">
        <v>0.1</v>
      </c>
      <c r="E10" s="64">
        <v>0.1</v>
      </c>
      <c r="F10" s="64">
        <v>0.1</v>
      </c>
      <c r="G10" s="64">
        <v>0.1</v>
      </c>
      <c r="H10" s="64">
        <v>0.1</v>
      </c>
      <c r="I10" s="64">
        <v>0.1</v>
      </c>
      <c r="J10" s="64">
        <v>0.1</v>
      </c>
      <c r="K10" s="64">
        <v>1</v>
      </c>
    </row>
    <row r="11" spans="1:11" ht="24.95" customHeight="1" x14ac:dyDescent="0.25">
      <c r="A11" s="160" t="s">
        <v>488</v>
      </c>
      <c r="B11" s="234" t="s">
        <v>60</v>
      </c>
      <c r="C11" s="58" t="s">
        <v>61</v>
      </c>
      <c r="D11" s="64">
        <v>0.3</v>
      </c>
      <c r="E11" s="64">
        <v>0.3</v>
      </c>
      <c r="F11" s="64">
        <v>0.3</v>
      </c>
      <c r="G11" s="64">
        <v>0.3</v>
      </c>
      <c r="H11" s="64">
        <v>0.3</v>
      </c>
      <c r="I11" s="64">
        <v>0.3</v>
      </c>
      <c r="J11" s="64">
        <v>0.3</v>
      </c>
      <c r="K11" s="64"/>
    </row>
    <row r="12" spans="1:11" ht="24.95" customHeight="1" x14ac:dyDescent="0.25">
      <c r="A12" s="160" t="s">
        <v>282</v>
      </c>
      <c r="B12" s="172" t="s">
        <v>13</v>
      </c>
      <c r="C12" s="58"/>
      <c r="D12" s="238" t="s">
        <v>108</v>
      </c>
      <c r="E12" s="239"/>
      <c r="F12" s="239"/>
      <c r="G12" s="239"/>
      <c r="H12" s="239"/>
      <c r="I12" s="239"/>
      <c r="J12" s="240"/>
      <c r="K12" s="64" t="s">
        <v>35</v>
      </c>
    </row>
    <row r="13" spans="1:11" ht="24.95" customHeight="1" x14ac:dyDescent="0.25">
      <c r="A13" s="160" t="s">
        <v>489</v>
      </c>
      <c r="B13" s="171" t="s">
        <v>102</v>
      </c>
      <c r="C13" s="58" t="s">
        <v>62</v>
      </c>
      <c r="D13" s="65">
        <f>D8*D10</f>
        <v>428404.16500000004</v>
      </c>
      <c r="E13" s="65">
        <f t="shared" ref="E13:J13" si="2">E8*E10</f>
        <v>77462.805000000008</v>
      </c>
      <c r="F13" s="65">
        <f t="shared" si="2"/>
        <v>38967</v>
      </c>
      <c r="G13" s="65">
        <f t="shared" si="2"/>
        <v>27192.091666666671</v>
      </c>
      <c r="H13" s="65">
        <f t="shared" si="2"/>
        <v>16981.89166666667</v>
      </c>
      <c r="I13" s="65">
        <f t="shared" si="2"/>
        <v>2912.6100000000006</v>
      </c>
      <c r="J13" s="65">
        <f t="shared" si="2"/>
        <v>3693.6666666666674</v>
      </c>
      <c r="K13" s="58" t="s">
        <v>52</v>
      </c>
    </row>
    <row r="14" spans="1:11" ht="24.95" customHeight="1" x14ac:dyDescent="0.25">
      <c r="A14" s="160" t="s">
        <v>490</v>
      </c>
      <c r="B14" s="172" t="s">
        <v>63</v>
      </c>
      <c r="C14" s="58" t="s">
        <v>64</v>
      </c>
      <c r="D14" s="65">
        <f>D8*D11</f>
        <v>1285212.4950000001</v>
      </c>
      <c r="E14" s="65">
        <f t="shared" ref="E14:J14" si="3">E8*E11</f>
        <v>232388.41500000001</v>
      </c>
      <c r="F14" s="65">
        <f t="shared" si="3"/>
        <v>116901</v>
      </c>
      <c r="G14" s="65">
        <f t="shared" si="3"/>
        <v>81576.275000000009</v>
      </c>
      <c r="H14" s="65">
        <f t="shared" si="3"/>
        <v>50945.675000000003</v>
      </c>
      <c r="I14" s="65">
        <f t="shared" si="3"/>
        <v>8737.83</v>
      </c>
      <c r="J14" s="65">
        <f t="shared" si="3"/>
        <v>11081.000000000002</v>
      </c>
      <c r="K14" s="58" t="s">
        <v>52</v>
      </c>
    </row>
    <row r="15" spans="1:11" ht="24.95" customHeight="1" x14ac:dyDescent="0.25">
      <c r="A15" s="160" t="s">
        <v>491</v>
      </c>
      <c r="B15" s="172" t="s">
        <v>65</v>
      </c>
      <c r="C15" s="58" t="s">
        <v>66</v>
      </c>
      <c r="D15" s="66">
        <f>D13+D14</f>
        <v>1713616.6600000001</v>
      </c>
      <c r="E15" s="66">
        <f t="shared" ref="E15:J15" si="4">E13+E14</f>
        <v>309851.22000000003</v>
      </c>
      <c r="F15" s="66">
        <f t="shared" si="4"/>
        <v>155868</v>
      </c>
      <c r="G15" s="66">
        <f t="shared" si="4"/>
        <v>108768.36666666668</v>
      </c>
      <c r="H15" s="66">
        <f t="shared" si="4"/>
        <v>67927.56666666668</v>
      </c>
      <c r="I15" s="66">
        <f t="shared" si="4"/>
        <v>11650.44</v>
      </c>
      <c r="J15" s="66">
        <f t="shared" si="4"/>
        <v>14774.66666666667</v>
      </c>
      <c r="K15" s="66">
        <v>2957711</v>
      </c>
    </row>
    <row r="16" spans="1:11" ht="24.95" customHeight="1" x14ac:dyDescent="0.25">
      <c r="A16" s="160" t="s">
        <v>492</v>
      </c>
      <c r="B16" s="173" t="s">
        <v>67</v>
      </c>
      <c r="C16" s="58" t="s">
        <v>68</v>
      </c>
      <c r="D16" s="64">
        <v>0.8</v>
      </c>
      <c r="E16" s="64">
        <v>0.8</v>
      </c>
      <c r="F16" s="64">
        <v>0.8</v>
      </c>
      <c r="G16" s="64">
        <v>0.8</v>
      </c>
      <c r="H16" s="64">
        <v>0.8</v>
      </c>
      <c r="I16" s="64">
        <v>0.8</v>
      </c>
      <c r="J16" s="64">
        <v>0.8</v>
      </c>
      <c r="K16" s="58">
        <v>0.75</v>
      </c>
    </row>
    <row r="17" spans="1:11" ht="24.95" customHeight="1" x14ac:dyDescent="0.25">
      <c r="A17" s="160" t="s">
        <v>493</v>
      </c>
      <c r="B17" s="174" t="s">
        <v>69</v>
      </c>
      <c r="C17" s="58" t="s">
        <v>70</v>
      </c>
      <c r="D17" s="64">
        <v>0.5</v>
      </c>
      <c r="E17" s="64">
        <v>0.5</v>
      </c>
      <c r="F17" s="64">
        <v>0.5</v>
      </c>
      <c r="G17" s="64">
        <v>0.5</v>
      </c>
      <c r="H17" s="64">
        <v>0.5</v>
      </c>
      <c r="I17" s="64">
        <v>0.5</v>
      </c>
      <c r="J17" s="64">
        <v>0.5</v>
      </c>
      <c r="K17" s="58"/>
    </row>
    <row r="18" spans="1:11" ht="24.95" customHeight="1" x14ac:dyDescent="0.25">
      <c r="A18" s="160" t="s">
        <v>494</v>
      </c>
      <c r="B18" s="173" t="s">
        <v>71</v>
      </c>
      <c r="C18" s="58" t="s">
        <v>72</v>
      </c>
      <c r="D18" s="64">
        <v>0.5</v>
      </c>
      <c r="E18" s="64">
        <v>0.5</v>
      </c>
      <c r="F18" s="64">
        <v>0.5</v>
      </c>
      <c r="G18" s="64">
        <v>0.5</v>
      </c>
      <c r="H18" s="64">
        <v>0.5</v>
      </c>
      <c r="I18" s="64">
        <v>0.5</v>
      </c>
      <c r="J18" s="64">
        <v>0.5</v>
      </c>
      <c r="K18" s="58"/>
    </row>
    <row r="19" spans="1:11" ht="24.95" customHeight="1" x14ac:dyDescent="0.25">
      <c r="A19" s="160" t="s">
        <v>495</v>
      </c>
      <c r="B19" s="173" t="s">
        <v>73</v>
      </c>
      <c r="C19" s="58" t="s">
        <v>74</v>
      </c>
      <c r="D19" s="64">
        <v>0.9</v>
      </c>
      <c r="E19" s="64">
        <v>0.9</v>
      </c>
      <c r="F19" s="64">
        <v>0.9</v>
      </c>
      <c r="G19" s="64">
        <v>0.9</v>
      </c>
      <c r="H19" s="64">
        <v>0.9</v>
      </c>
      <c r="I19" s="64">
        <v>0.9</v>
      </c>
      <c r="J19" s="64">
        <v>0.9</v>
      </c>
      <c r="K19" s="58"/>
    </row>
    <row r="20" spans="1:11" ht="24.95" customHeight="1" x14ac:dyDescent="0.25">
      <c r="A20" s="160" t="s">
        <v>282</v>
      </c>
      <c r="B20" s="173" t="s">
        <v>13</v>
      </c>
      <c r="C20" s="58"/>
      <c r="D20" s="238" t="s">
        <v>107</v>
      </c>
      <c r="E20" s="239"/>
      <c r="F20" s="239"/>
      <c r="G20" s="239"/>
      <c r="H20" s="239"/>
      <c r="I20" s="239"/>
      <c r="J20" s="239"/>
      <c r="K20" s="240"/>
    </row>
    <row r="21" spans="1:11" ht="24.95" customHeight="1" x14ac:dyDescent="0.25">
      <c r="A21" s="160" t="s">
        <v>496</v>
      </c>
      <c r="B21" s="173" t="s">
        <v>75</v>
      </c>
      <c r="C21" s="58" t="s">
        <v>76</v>
      </c>
      <c r="D21" s="64">
        <v>0.8</v>
      </c>
      <c r="E21" s="64">
        <v>0.8</v>
      </c>
      <c r="F21" s="64">
        <v>0.8</v>
      </c>
      <c r="G21" s="64">
        <v>0.8</v>
      </c>
      <c r="H21" s="64">
        <v>0.8</v>
      </c>
      <c r="I21" s="64">
        <v>0.8</v>
      </c>
      <c r="J21" s="64">
        <v>0.8</v>
      </c>
      <c r="K21" s="64" t="s">
        <v>52</v>
      </c>
    </row>
    <row r="22" spans="1:11" ht="24.95" customHeight="1" x14ac:dyDescent="0.25">
      <c r="A22" s="160" t="s">
        <v>497</v>
      </c>
      <c r="B22" s="173" t="s">
        <v>77</v>
      </c>
      <c r="C22" s="58" t="s">
        <v>78</v>
      </c>
      <c r="D22" s="64">
        <v>0.2</v>
      </c>
      <c r="E22" s="64">
        <v>0.2</v>
      </c>
      <c r="F22" s="64">
        <v>0.2</v>
      </c>
      <c r="G22" s="64">
        <v>0.2</v>
      </c>
      <c r="H22" s="64">
        <v>0.2</v>
      </c>
      <c r="I22" s="64">
        <v>0.2</v>
      </c>
      <c r="J22" s="64">
        <v>0.2</v>
      </c>
      <c r="K22" s="64" t="s">
        <v>52</v>
      </c>
    </row>
    <row r="23" spans="1:11" ht="24.95" customHeight="1" x14ac:dyDescent="0.25">
      <c r="A23" s="160" t="s">
        <v>498</v>
      </c>
      <c r="B23" s="173" t="s">
        <v>79</v>
      </c>
      <c r="C23" s="58" t="s">
        <v>80</v>
      </c>
      <c r="D23" s="64">
        <v>0.67</v>
      </c>
      <c r="E23" s="64">
        <v>0.67</v>
      </c>
      <c r="F23" s="64">
        <v>0.67</v>
      </c>
      <c r="G23" s="64">
        <v>0.67</v>
      </c>
      <c r="H23" s="64">
        <v>0.67</v>
      </c>
      <c r="I23" s="64">
        <v>0.67</v>
      </c>
      <c r="J23" s="64">
        <v>0.67</v>
      </c>
      <c r="K23" s="64" t="s">
        <v>52</v>
      </c>
    </row>
    <row r="24" spans="1:11" ht="24.95" customHeight="1" x14ac:dyDescent="0.25">
      <c r="A24" s="160" t="s">
        <v>499</v>
      </c>
      <c r="B24" s="173" t="s">
        <v>81</v>
      </c>
      <c r="C24" s="58" t="s">
        <v>82</v>
      </c>
      <c r="D24" s="64">
        <v>0.33</v>
      </c>
      <c r="E24" s="64">
        <v>0.33</v>
      </c>
      <c r="F24" s="64">
        <v>0.33</v>
      </c>
      <c r="G24" s="64">
        <v>0.33</v>
      </c>
      <c r="H24" s="64">
        <v>0.33</v>
      </c>
      <c r="I24" s="64">
        <v>0.33</v>
      </c>
      <c r="J24" s="64">
        <v>0.33</v>
      </c>
      <c r="K24" s="64" t="s">
        <v>52</v>
      </c>
    </row>
    <row r="25" spans="1:11" ht="24.95" customHeight="1" x14ac:dyDescent="0.25">
      <c r="A25" s="160" t="s">
        <v>282</v>
      </c>
      <c r="B25" s="172" t="s">
        <v>13</v>
      </c>
      <c r="C25" s="58"/>
      <c r="D25" s="238" t="s">
        <v>83</v>
      </c>
      <c r="E25" s="239"/>
      <c r="F25" s="239"/>
      <c r="G25" s="239"/>
      <c r="H25" s="239"/>
      <c r="I25" s="239"/>
      <c r="J25" s="240"/>
      <c r="K25" s="64"/>
    </row>
    <row r="26" spans="1:11" ht="24.95" customHeight="1" x14ac:dyDescent="0.25">
      <c r="A26" s="160" t="s">
        <v>500</v>
      </c>
      <c r="B26" s="175" t="s">
        <v>84</v>
      </c>
      <c r="C26" s="58" t="s">
        <v>85</v>
      </c>
      <c r="D26" s="67">
        <f>D13*D16*D21</f>
        <v>274178.66560000007</v>
      </c>
      <c r="E26" s="67">
        <f t="shared" ref="E26:J26" si="5">E13*E16*E21</f>
        <v>49576.195200000009</v>
      </c>
      <c r="F26" s="67">
        <f t="shared" si="5"/>
        <v>24938.880000000005</v>
      </c>
      <c r="G26" s="67">
        <f t="shared" si="5"/>
        <v>17402.938666666672</v>
      </c>
      <c r="H26" s="67">
        <f t="shared" si="5"/>
        <v>10868.41066666667</v>
      </c>
      <c r="I26" s="67">
        <f t="shared" si="5"/>
        <v>1864.0704000000005</v>
      </c>
      <c r="J26" s="67">
        <f t="shared" si="5"/>
        <v>2363.9466666666676</v>
      </c>
      <c r="K26" s="68"/>
    </row>
    <row r="27" spans="1:11" ht="24.95" customHeight="1" x14ac:dyDescent="0.25">
      <c r="A27" s="160" t="s">
        <v>501</v>
      </c>
      <c r="B27" s="175" t="s">
        <v>86</v>
      </c>
      <c r="C27" s="58" t="s">
        <v>103</v>
      </c>
      <c r="D27" s="69">
        <f>D13*D17*D22</f>
        <v>42840.416500000007</v>
      </c>
      <c r="E27" s="69">
        <f t="shared" ref="E27:J27" si="6">E13*E17*E22</f>
        <v>7746.2805000000008</v>
      </c>
      <c r="F27" s="69">
        <f t="shared" si="6"/>
        <v>3896.7000000000003</v>
      </c>
      <c r="G27" s="69">
        <f t="shared" si="6"/>
        <v>2719.2091666666674</v>
      </c>
      <c r="H27" s="69">
        <f t="shared" si="6"/>
        <v>1698.189166666667</v>
      </c>
      <c r="I27" s="69">
        <f t="shared" si="6"/>
        <v>291.26100000000008</v>
      </c>
      <c r="J27" s="69">
        <f t="shared" si="6"/>
        <v>369.36666666666679</v>
      </c>
      <c r="K27" s="70"/>
    </row>
    <row r="28" spans="1:11" ht="24.95" customHeight="1" x14ac:dyDescent="0.25">
      <c r="A28" s="160" t="s">
        <v>502</v>
      </c>
      <c r="B28" s="176" t="s">
        <v>87</v>
      </c>
      <c r="C28" s="58" t="s">
        <v>104</v>
      </c>
      <c r="D28" s="67">
        <f>D14*D18*D23</f>
        <v>430546.18582500005</v>
      </c>
      <c r="E28" s="67">
        <f t="shared" ref="E28:J28" si="7">E14*E18*E23</f>
        <v>77850.119025000007</v>
      </c>
      <c r="F28" s="67">
        <f t="shared" si="7"/>
        <v>39161.834999999999</v>
      </c>
      <c r="G28" s="67">
        <f t="shared" si="7"/>
        <v>27328.052125000006</v>
      </c>
      <c r="H28" s="67">
        <f t="shared" si="7"/>
        <v>17066.801125000002</v>
      </c>
      <c r="I28" s="67">
        <f t="shared" si="7"/>
        <v>2927.1730500000003</v>
      </c>
      <c r="J28" s="67">
        <f t="shared" si="7"/>
        <v>3712.1350000000007</v>
      </c>
      <c r="K28" s="68"/>
    </row>
    <row r="29" spans="1:11" ht="24.95" customHeight="1" x14ac:dyDescent="0.25">
      <c r="A29" s="160" t="s">
        <v>503</v>
      </c>
      <c r="B29" s="175" t="s">
        <v>88</v>
      </c>
      <c r="C29" s="58" t="s">
        <v>105</v>
      </c>
      <c r="D29" s="67">
        <f>D14*D19*D24</f>
        <v>381708.11101500009</v>
      </c>
      <c r="E29" s="67">
        <f t="shared" ref="E29:J29" si="8">E14*E19*E24</f>
        <v>69019.359255000003</v>
      </c>
      <c r="F29" s="67">
        <f t="shared" si="8"/>
        <v>34719.597000000002</v>
      </c>
      <c r="G29" s="67">
        <f t="shared" si="8"/>
        <v>24228.153675000005</v>
      </c>
      <c r="H29" s="67">
        <f t="shared" si="8"/>
        <v>15130.865475000002</v>
      </c>
      <c r="I29" s="67">
        <f t="shared" si="8"/>
        <v>2595.1355100000001</v>
      </c>
      <c r="J29" s="67">
        <f t="shared" si="8"/>
        <v>3291.0570000000007</v>
      </c>
      <c r="K29" s="58"/>
    </row>
    <row r="30" spans="1:11" ht="24.95" customHeight="1" x14ac:dyDescent="0.25">
      <c r="A30" s="160" t="s">
        <v>504</v>
      </c>
      <c r="B30" s="175" t="s">
        <v>89</v>
      </c>
      <c r="C30" s="58" t="s">
        <v>101</v>
      </c>
      <c r="D30" s="69">
        <f>SUM(D26:D29)</f>
        <v>1129273.3789400002</v>
      </c>
      <c r="E30" s="69">
        <f t="shared" ref="E30:J30" si="9">SUM(E26:E29)</f>
        <v>204191.95398000005</v>
      </c>
      <c r="F30" s="69">
        <f t="shared" si="9"/>
        <v>102717.01200000002</v>
      </c>
      <c r="G30" s="69">
        <f t="shared" si="9"/>
        <v>71678.353633333347</v>
      </c>
      <c r="H30" s="69">
        <f t="shared" si="9"/>
        <v>44764.266433333338</v>
      </c>
      <c r="I30" s="69">
        <f t="shared" si="9"/>
        <v>7677.6399600000004</v>
      </c>
      <c r="J30" s="69">
        <f t="shared" si="9"/>
        <v>9736.5053333333362</v>
      </c>
      <c r="K30" s="152">
        <f>K15*K16</f>
        <v>2218283.25</v>
      </c>
    </row>
    <row r="31" spans="1:11" ht="24.95" customHeight="1" x14ac:dyDescent="0.25">
      <c r="A31" s="160" t="s">
        <v>505</v>
      </c>
      <c r="B31" s="243" t="s">
        <v>350</v>
      </c>
      <c r="C31" s="241" t="s">
        <v>90</v>
      </c>
      <c r="D31" s="153">
        <v>17.899999999999999</v>
      </c>
      <c r="E31" s="153">
        <v>16.100000000000001</v>
      </c>
      <c r="F31" s="153">
        <v>16.100000000000001</v>
      </c>
      <c r="G31" s="153">
        <v>17.899999999999999</v>
      </c>
      <c r="H31" s="153">
        <v>17.899999999999999</v>
      </c>
      <c r="I31" s="153">
        <v>17.899999999999999</v>
      </c>
      <c r="J31" s="153">
        <v>16.100000000000001</v>
      </c>
      <c r="K31" s="153">
        <v>9.1300000000000008</v>
      </c>
    </row>
    <row r="32" spans="1:11" ht="20.100000000000001" customHeight="1" x14ac:dyDescent="0.25">
      <c r="A32" s="14"/>
      <c r="B32" s="244"/>
      <c r="C32" s="242"/>
      <c r="D32" s="154" t="s">
        <v>344</v>
      </c>
      <c r="E32" s="154" t="s">
        <v>345</v>
      </c>
      <c r="F32" s="154" t="s">
        <v>347</v>
      </c>
      <c r="G32" s="154" t="s">
        <v>348</v>
      </c>
      <c r="H32" s="154" t="s">
        <v>348</v>
      </c>
      <c r="I32" s="154" t="s">
        <v>348</v>
      </c>
      <c r="J32" s="154" t="s">
        <v>347</v>
      </c>
      <c r="K32" s="154" t="s">
        <v>349</v>
      </c>
    </row>
    <row r="33" spans="1:11" ht="24.95" customHeight="1" x14ac:dyDescent="0.25">
      <c r="A33" s="160" t="s">
        <v>506</v>
      </c>
      <c r="B33" s="245" t="s">
        <v>351</v>
      </c>
      <c r="C33" s="241" t="s">
        <v>91</v>
      </c>
      <c r="D33" s="153">
        <v>16.7</v>
      </c>
      <c r="E33" s="153">
        <v>15.8</v>
      </c>
      <c r="F33" s="153">
        <v>15.8</v>
      </c>
      <c r="G33" s="153">
        <v>16.7</v>
      </c>
      <c r="H33" s="153">
        <v>16.7</v>
      </c>
      <c r="I33" s="153">
        <v>16.7</v>
      </c>
      <c r="J33" s="153">
        <v>15.8</v>
      </c>
      <c r="K33" s="153" t="s">
        <v>52</v>
      </c>
    </row>
    <row r="34" spans="1:11" ht="20.100000000000001" customHeight="1" x14ac:dyDescent="0.25">
      <c r="A34" s="14"/>
      <c r="B34" s="246"/>
      <c r="C34" s="242"/>
      <c r="D34" s="154" t="s">
        <v>354</v>
      </c>
      <c r="E34" s="154" t="s">
        <v>355</v>
      </c>
      <c r="F34" s="154" t="s">
        <v>356</v>
      </c>
      <c r="G34" s="154" t="s">
        <v>357</v>
      </c>
      <c r="H34" s="154" t="s">
        <v>357</v>
      </c>
      <c r="I34" s="154" t="s">
        <v>357</v>
      </c>
      <c r="J34" s="154" t="s">
        <v>356</v>
      </c>
      <c r="K34" s="154"/>
    </row>
    <row r="35" spans="1:11" ht="24.95" customHeight="1" x14ac:dyDescent="0.25">
      <c r="A35" s="160" t="s">
        <v>507</v>
      </c>
      <c r="B35" s="243" t="s">
        <v>352</v>
      </c>
      <c r="C35" s="241" t="s">
        <v>92</v>
      </c>
      <c r="D35" s="153">
        <v>17.3</v>
      </c>
      <c r="E35" s="153">
        <v>15.9</v>
      </c>
      <c r="F35" s="153">
        <v>15.9</v>
      </c>
      <c r="G35" s="153">
        <v>17.3</v>
      </c>
      <c r="H35" s="153">
        <v>17.3</v>
      </c>
      <c r="I35" s="153">
        <v>17.3</v>
      </c>
      <c r="J35" s="153">
        <v>15.9</v>
      </c>
      <c r="K35" s="153" t="s">
        <v>52</v>
      </c>
    </row>
    <row r="36" spans="1:11" ht="20.100000000000001" customHeight="1" x14ac:dyDescent="0.25">
      <c r="A36" s="14"/>
      <c r="B36" s="244"/>
      <c r="C36" s="242"/>
      <c r="D36" s="154" t="s">
        <v>360</v>
      </c>
      <c r="E36" s="154" t="s">
        <v>361</v>
      </c>
      <c r="F36" s="154" t="s">
        <v>358</v>
      </c>
      <c r="G36" s="154" t="s">
        <v>359</v>
      </c>
      <c r="H36" s="154" t="s">
        <v>359</v>
      </c>
      <c r="I36" s="154" t="s">
        <v>359</v>
      </c>
      <c r="J36" s="154" t="s">
        <v>358</v>
      </c>
      <c r="K36" s="154"/>
    </row>
    <row r="37" spans="1:11" ht="24.95" customHeight="1" x14ac:dyDescent="0.25">
      <c r="A37" s="160" t="s">
        <v>508</v>
      </c>
      <c r="B37" s="247" t="s">
        <v>353</v>
      </c>
      <c r="C37" s="241" t="s">
        <v>93</v>
      </c>
      <c r="D37" s="153">
        <v>16.7</v>
      </c>
      <c r="E37" s="153">
        <v>16.100000000000001</v>
      </c>
      <c r="F37" s="153">
        <v>16.100000000000001</v>
      </c>
      <c r="G37" s="153">
        <v>16.7</v>
      </c>
      <c r="H37" s="153">
        <v>16.7</v>
      </c>
      <c r="I37" s="153">
        <v>16.7</v>
      </c>
      <c r="J37" s="153">
        <v>16.100000000000001</v>
      </c>
      <c r="K37" s="153" t="s">
        <v>94</v>
      </c>
    </row>
    <row r="38" spans="1:11" ht="20.100000000000001" customHeight="1" x14ac:dyDescent="0.25">
      <c r="A38" s="14"/>
      <c r="B38" s="248"/>
      <c r="C38" s="242"/>
      <c r="D38" s="154" t="s">
        <v>363</v>
      </c>
      <c r="E38" s="154" t="s">
        <v>362</v>
      </c>
      <c r="F38" s="154" t="s">
        <v>362</v>
      </c>
      <c r="G38" s="154" t="s">
        <v>357</v>
      </c>
      <c r="H38" s="154" t="s">
        <v>357</v>
      </c>
      <c r="I38" s="154" t="s">
        <v>357</v>
      </c>
      <c r="J38" s="154" t="s">
        <v>362</v>
      </c>
      <c r="K38" s="154"/>
    </row>
    <row r="39" spans="1:11" ht="24.95" customHeight="1" x14ac:dyDescent="0.25">
      <c r="A39" s="177" t="s">
        <v>282</v>
      </c>
      <c r="B39" s="172" t="s">
        <v>13</v>
      </c>
      <c r="C39" s="58"/>
      <c r="D39" s="155" t="s">
        <v>95</v>
      </c>
      <c r="E39" s="155" t="s">
        <v>95</v>
      </c>
      <c r="F39" s="155" t="s">
        <v>378</v>
      </c>
      <c r="G39" s="155" t="s">
        <v>377</v>
      </c>
      <c r="H39" s="155" t="s">
        <v>376</v>
      </c>
      <c r="I39" s="155" t="s">
        <v>375</v>
      </c>
      <c r="J39" s="155" t="s">
        <v>374</v>
      </c>
      <c r="K39" s="156" t="s">
        <v>95</v>
      </c>
    </row>
    <row r="40" spans="1:11" ht="24.95" customHeight="1" x14ac:dyDescent="0.25">
      <c r="A40" s="160" t="s">
        <v>510</v>
      </c>
      <c r="B40" s="172" t="s">
        <v>96</v>
      </c>
      <c r="C40" s="58" t="s">
        <v>97</v>
      </c>
      <c r="D40" s="152">
        <f>($D$26*17.9)+($D$27*16.7)</f>
        <v>5623233.069790001</v>
      </c>
      <c r="E40" s="152">
        <f>($E$26*16.1)+($E$27*15.8)</f>
        <v>920567.97462000023</v>
      </c>
      <c r="F40" s="152">
        <f>($F$26*16.1)+($F$27*15.8)</f>
        <v>463083.8280000001</v>
      </c>
      <c r="G40" s="152">
        <f>($G$26*17.9)+($G$27*16.7)</f>
        <v>356923.39521666674</v>
      </c>
      <c r="H40" s="152">
        <f>($H$26*17.9)+($H$27*16.7)</f>
        <v>222904.31001666671</v>
      </c>
      <c r="I40" s="152">
        <f>($I$26*17.9)+($I$27*16.7)</f>
        <v>38230.918860000005</v>
      </c>
      <c r="J40" s="152">
        <f>($J$26*16.1)+($J$27*15.8)</f>
        <v>43895.534666666688</v>
      </c>
      <c r="K40" s="157"/>
    </row>
    <row r="41" spans="1:11" ht="24.95" customHeight="1" x14ac:dyDescent="0.25">
      <c r="A41" s="160" t="s">
        <v>511</v>
      </c>
      <c r="B41" s="172" t="s">
        <v>98</v>
      </c>
      <c r="C41" s="58" t="s">
        <v>99</v>
      </c>
      <c r="D41" s="152">
        <f>($D$28*17.3)+($D$29*16.7)</f>
        <v>13822974.468723003</v>
      </c>
      <c r="E41" s="152">
        <f>($E$28*15.9)+($E$29*16.1)</f>
        <v>2349028.5765030002</v>
      </c>
      <c r="F41" s="152">
        <f>($F$28*17.3)+($F$29*16.7)</f>
        <v>1257317.0153999999</v>
      </c>
      <c r="G41" s="152">
        <f>($G$28*17.3)+($G$29*16.7)</f>
        <v>877385.46813500021</v>
      </c>
      <c r="H41" s="152">
        <f>($H$28*17.3)+($H$29*16.7)</f>
        <v>547941.11289500003</v>
      </c>
      <c r="I41" s="152">
        <f>($I$28*17.3)+($I$29*16.7)</f>
        <v>93978.856782000003</v>
      </c>
      <c r="J41" s="152">
        <f>($J$28*17.3)+($J$29*16.7)</f>
        <v>119180.58740000002</v>
      </c>
      <c r="K41" s="88"/>
    </row>
    <row r="42" spans="1:11" ht="24.95" customHeight="1" x14ac:dyDescent="0.25">
      <c r="A42" s="161" t="s">
        <v>512</v>
      </c>
      <c r="B42" s="171" t="s">
        <v>188</v>
      </c>
      <c r="C42" s="58" t="s">
        <v>100</v>
      </c>
      <c r="D42" s="158">
        <f>(D40+D41)/1000</f>
        <v>19446.207538513005</v>
      </c>
      <c r="E42" s="158">
        <f t="shared" ref="E42:J42" si="10">(E40+E41)/1000</f>
        <v>3269.5965511230006</v>
      </c>
      <c r="F42" s="158">
        <f t="shared" si="10"/>
        <v>1720.4008434000002</v>
      </c>
      <c r="G42" s="158">
        <f t="shared" si="10"/>
        <v>1234.3088633516668</v>
      </c>
      <c r="H42" s="158">
        <f t="shared" si="10"/>
        <v>770.84542291166679</v>
      </c>
      <c r="I42" s="158">
        <f t="shared" si="10"/>
        <v>132.20977564200001</v>
      </c>
      <c r="J42" s="158">
        <f t="shared" si="10"/>
        <v>163.07612206666673</v>
      </c>
      <c r="K42" s="159">
        <v>20253</v>
      </c>
    </row>
    <row r="45" spans="1:11" x14ac:dyDescent="0.25">
      <c r="A45" t="s">
        <v>509</v>
      </c>
      <c r="B45" s="138" t="s">
        <v>323</v>
      </c>
      <c r="D45" s="12"/>
      <c r="E45" s="12"/>
      <c r="F45" s="12"/>
      <c r="G45" s="12"/>
      <c r="H45" s="12"/>
      <c r="I45" s="12"/>
      <c r="J45" s="12"/>
    </row>
    <row r="46" spans="1:11" x14ac:dyDescent="0.25">
      <c r="B46" s="138" t="s">
        <v>346</v>
      </c>
      <c r="D46" s="12"/>
      <c r="E46" s="12"/>
      <c r="F46" s="12"/>
      <c r="G46" s="12"/>
      <c r="H46" s="12"/>
      <c r="I46" s="12"/>
      <c r="J46" s="12"/>
    </row>
    <row r="47" spans="1:11" x14ac:dyDescent="0.25">
      <c r="B47" s="138" t="s">
        <v>364</v>
      </c>
      <c r="D47" s="12"/>
      <c r="E47" s="12"/>
      <c r="F47" s="12"/>
      <c r="G47" s="12"/>
      <c r="H47" s="12"/>
      <c r="I47" s="12"/>
      <c r="J47" s="12"/>
    </row>
    <row r="48" spans="1:11" x14ac:dyDescent="0.25">
      <c r="B48" s="138" t="s">
        <v>365</v>
      </c>
      <c r="D48" s="12"/>
      <c r="E48" s="12"/>
      <c r="F48" s="12"/>
      <c r="G48" s="12"/>
      <c r="H48" s="12"/>
      <c r="I48" s="12"/>
      <c r="J48" s="12"/>
    </row>
    <row r="49" spans="2:23" x14ac:dyDescent="0.25">
      <c r="B49" s="138" t="s">
        <v>366</v>
      </c>
      <c r="D49" s="12"/>
      <c r="E49" s="12"/>
      <c r="F49" s="12"/>
      <c r="G49" s="12"/>
      <c r="H49" s="12"/>
      <c r="I49" s="12"/>
      <c r="J49" s="12"/>
    </row>
    <row r="50" spans="2:23" x14ac:dyDescent="0.25">
      <c r="B50" s="138" t="s">
        <v>367</v>
      </c>
    </row>
    <row r="51" spans="2:23" x14ac:dyDescent="0.25">
      <c r="B51" s="138" t="s">
        <v>368</v>
      </c>
    </row>
    <row r="52" spans="2:23" x14ac:dyDescent="0.25">
      <c r="B52" s="138" t="s">
        <v>369</v>
      </c>
    </row>
    <row r="53" spans="2:23" x14ac:dyDescent="0.25">
      <c r="B53" s="138" t="s">
        <v>370</v>
      </c>
    </row>
    <row r="54" spans="2:23" x14ac:dyDescent="0.25">
      <c r="B54" s="138" t="s">
        <v>371</v>
      </c>
    </row>
    <row r="55" spans="2:23" x14ac:dyDescent="0.25">
      <c r="B55" s="138" t="s">
        <v>372</v>
      </c>
    </row>
    <row r="56" spans="2:23" x14ac:dyDescent="0.25">
      <c r="B56" s="138" t="s">
        <v>373</v>
      </c>
    </row>
    <row r="57" spans="2:23" x14ac:dyDescent="0.25">
      <c r="D57" s="13"/>
      <c r="E57" s="13"/>
      <c r="F57" s="13"/>
      <c r="G57" s="13"/>
      <c r="H57" s="13"/>
      <c r="I57" s="13"/>
      <c r="J57" s="13"/>
    </row>
    <row r="61" spans="2:23" s="40" customFormat="1" ht="56.25" customHeight="1" x14ac:dyDescent="0.25">
      <c r="B61" s="217" t="s">
        <v>524</v>
      </c>
      <c r="C61" s="218"/>
      <c r="D61" s="218"/>
      <c r="E61" s="218"/>
      <c r="F61" s="218"/>
      <c r="G61" s="218"/>
      <c r="H61" s="218"/>
      <c r="I61" s="219"/>
      <c r="J61" s="48">
        <f>SUM(D42:J42)</f>
        <v>26736.645117008004</v>
      </c>
      <c r="M61"/>
      <c r="N61"/>
      <c r="O61"/>
      <c r="P61"/>
      <c r="Q61"/>
      <c r="R61"/>
      <c r="S61"/>
      <c r="T61"/>
      <c r="U61"/>
      <c r="V61"/>
      <c r="W61"/>
    </row>
    <row r="63" spans="2:23" x14ac:dyDescent="0.25">
      <c r="W63" s="40"/>
    </row>
    <row r="65" spans="4:22" x14ac:dyDescent="0.25"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7" spans="4:22" ht="15.75" thickBot="1" x14ac:dyDescent="0.3"/>
    <row r="68" spans="4:22" ht="15.75" thickBot="1" x14ac:dyDescent="0.3">
      <c r="D68" s="139" t="s">
        <v>324</v>
      </c>
      <c r="E68" s="141" t="s">
        <v>325</v>
      </c>
      <c r="F68" s="140" t="s">
        <v>326</v>
      </c>
      <c r="G68" s="140" t="s">
        <v>327</v>
      </c>
      <c r="H68" s="140" t="s">
        <v>327</v>
      </c>
      <c r="I68" s="140" t="s">
        <v>327</v>
      </c>
      <c r="J68" s="142" t="s">
        <v>326</v>
      </c>
    </row>
    <row r="69" spans="4:22" ht="15.75" thickBot="1" x14ac:dyDescent="0.3">
      <c r="D69" s="143" t="s">
        <v>328</v>
      </c>
      <c r="E69" s="144" t="s">
        <v>329</v>
      </c>
      <c r="F69" s="91" t="s">
        <v>330</v>
      </c>
      <c r="G69" s="91" t="s">
        <v>331</v>
      </c>
      <c r="H69" s="91" t="s">
        <v>331</v>
      </c>
      <c r="I69" s="91" t="s">
        <v>331</v>
      </c>
      <c r="J69" s="92" t="s">
        <v>330</v>
      </c>
    </row>
    <row r="70" spans="4:22" ht="15.75" thickBot="1" x14ac:dyDescent="0.3">
      <c r="D70" s="143" t="s">
        <v>332</v>
      </c>
      <c r="E70" s="144" t="s">
        <v>333</v>
      </c>
      <c r="F70" s="91" t="s">
        <v>334</v>
      </c>
      <c r="G70" s="91" t="s">
        <v>335</v>
      </c>
      <c r="H70" s="91" t="s">
        <v>335</v>
      </c>
      <c r="I70" s="91" t="s">
        <v>335</v>
      </c>
      <c r="J70" s="92" t="s">
        <v>334</v>
      </c>
    </row>
    <row r="71" spans="4:22" ht="15.75" thickBot="1" x14ac:dyDescent="0.3">
      <c r="D71" s="145" t="s">
        <v>336</v>
      </c>
      <c r="E71" s="146" t="s">
        <v>337</v>
      </c>
      <c r="F71" s="146" t="s">
        <v>337</v>
      </c>
      <c r="G71" s="146" t="s">
        <v>331</v>
      </c>
      <c r="H71" s="146" t="s">
        <v>331</v>
      </c>
      <c r="I71" s="146" t="s">
        <v>331</v>
      </c>
      <c r="J71" s="147" t="s">
        <v>337</v>
      </c>
    </row>
    <row r="74" spans="4:22" x14ac:dyDescent="0.25">
      <c r="D74" s="2" t="s">
        <v>322</v>
      </c>
    </row>
    <row r="75" spans="4:22" x14ac:dyDescent="0.25">
      <c r="D75" s="2" t="s">
        <v>338</v>
      </c>
    </row>
    <row r="76" spans="4:22" x14ac:dyDescent="0.25">
      <c r="D76" s="2" t="s">
        <v>339</v>
      </c>
    </row>
    <row r="77" spans="4:22" x14ac:dyDescent="0.25">
      <c r="D77" s="2" t="s">
        <v>340</v>
      </c>
    </row>
    <row r="78" spans="4:22" x14ac:dyDescent="0.25">
      <c r="D78" s="2" t="s">
        <v>341</v>
      </c>
    </row>
    <row r="79" spans="4:22" x14ac:dyDescent="0.25">
      <c r="D79" s="2" t="s">
        <v>342</v>
      </c>
    </row>
    <row r="80" spans="4:22" x14ac:dyDescent="0.25">
      <c r="D80" s="2" t="s">
        <v>343</v>
      </c>
    </row>
  </sheetData>
  <mergeCells count="15">
    <mergeCell ref="B61:I61"/>
    <mergeCell ref="B10:B11"/>
    <mergeCell ref="D3:J3"/>
    <mergeCell ref="D12:J12"/>
    <mergeCell ref="D9:J9"/>
    <mergeCell ref="D20:K20"/>
    <mergeCell ref="D25:J25"/>
    <mergeCell ref="C31:C32"/>
    <mergeCell ref="B31:B32"/>
    <mergeCell ref="C33:C34"/>
    <mergeCell ref="B33:B34"/>
    <mergeCell ref="C35:C36"/>
    <mergeCell ref="B35:B36"/>
    <mergeCell ref="C37:C38"/>
    <mergeCell ref="B37:B38"/>
  </mergeCells>
  <hyperlinks>
    <hyperlink ref="D68" location="_ftn1" display="_ftn1"/>
    <hyperlink ref="E68" location="_ftn2" display="_ftn2"/>
    <hyperlink ref="D69" location="_ftn3" display="_ftn3"/>
    <hyperlink ref="E69" location="_ftn4" display="_ftn4"/>
    <hyperlink ref="D70" location="_ftn5" display="_ftn5"/>
    <hyperlink ref="E70" location="_ftn6" display="_ftn6"/>
    <hyperlink ref="D71" location="_ftn7" display="_ftn7"/>
    <hyperlink ref="D74" location="_ftnref1" display="_ftnref1"/>
    <hyperlink ref="D75" location="_ftnref2" display="_ftnref2"/>
    <hyperlink ref="D76" location="_ftnref3" display="_ftnref3"/>
    <hyperlink ref="D77" location="_ftnref4" display="_ftnref4"/>
    <hyperlink ref="D78" location="_ftnref5" display="_ftnref5"/>
    <hyperlink ref="D79" location="_ftnref6" display="_ftnref6"/>
    <hyperlink ref="D80" location="_ftnref7" display="_ftnref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opLeftCell="A13" zoomScale="80" zoomScaleNormal="80" workbookViewId="0">
      <selection activeCell="J27" sqref="J27"/>
    </sheetView>
  </sheetViews>
  <sheetFormatPr baseColWidth="10" defaultRowHeight="15" x14ac:dyDescent="0.25"/>
  <cols>
    <col min="2" max="2" width="41.28515625" customWidth="1"/>
    <col min="3" max="3" width="15.140625" customWidth="1"/>
    <col min="4" max="4" width="27" customWidth="1"/>
    <col min="5" max="5" width="15.140625" customWidth="1"/>
    <col min="6" max="13" width="18.7109375" customWidth="1"/>
  </cols>
  <sheetData>
    <row r="2" spans="2:13" ht="30" customHeight="1" x14ac:dyDescent="0.25">
      <c r="B2" s="187" t="s">
        <v>267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2:13" ht="22.5" customHeight="1" x14ac:dyDescent="0.2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2:13" ht="39.950000000000003" customHeight="1" x14ac:dyDescent="0.25">
      <c r="B4" s="151" t="s">
        <v>220</v>
      </c>
      <c r="C4" s="181"/>
      <c r="D4" s="181"/>
      <c r="E4" s="103" t="s">
        <v>221</v>
      </c>
      <c r="F4" s="178" t="s">
        <v>232</v>
      </c>
      <c r="G4" s="178" t="s">
        <v>233</v>
      </c>
      <c r="H4" s="178" t="s">
        <v>230</v>
      </c>
      <c r="I4" s="178" t="s">
        <v>231</v>
      </c>
      <c r="J4" s="178" t="s">
        <v>46</v>
      </c>
      <c r="K4" s="178" t="s">
        <v>229</v>
      </c>
      <c r="L4" s="178" t="s">
        <v>48</v>
      </c>
      <c r="M4" s="178" t="s">
        <v>234</v>
      </c>
    </row>
    <row r="5" spans="2:13" ht="39.950000000000003" customHeight="1" x14ac:dyDescent="0.25">
      <c r="B5" s="150" t="s">
        <v>222</v>
      </c>
      <c r="C5" s="179" t="s">
        <v>236</v>
      </c>
      <c r="D5" s="179"/>
      <c r="E5" s="103" t="s">
        <v>244</v>
      </c>
      <c r="F5" s="90">
        <v>5040049</v>
      </c>
      <c r="G5" s="90">
        <v>737741</v>
      </c>
      <c r="H5" s="90">
        <v>389670</v>
      </c>
      <c r="I5" s="90">
        <v>296641</v>
      </c>
      <c r="J5" s="90">
        <v>185257</v>
      </c>
      <c r="K5" s="90">
        <v>34266</v>
      </c>
      <c r="L5" s="90">
        <v>31660</v>
      </c>
      <c r="M5" s="90">
        <f>SUM(F5:L5)</f>
        <v>6715284</v>
      </c>
    </row>
    <row r="6" spans="2:13" ht="39.950000000000003" customHeight="1" x14ac:dyDescent="0.25">
      <c r="B6" s="150" t="s">
        <v>223</v>
      </c>
      <c r="C6" s="182" t="s">
        <v>237</v>
      </c>
      <c r="D6" s="182"/>
      <c r="E6" s="103" t="s">
        <v>243</v>
      </c>
      <c r="F6" s="88">
        <v>0.51</v>
      </c>
      <c r="G6" s="88">
        <v>0.63</v>
      </c>
      <c r="H6" s="88">
        <v>0.6</v>
      </c>
      <c r="I6" s="88">
        <v>0.55000000000000004</v>
      </c>
      <c r="J6" s="88">
        <v>0.55000000000000004</v>
      </c>
      <c r="K6" s="88">
        <v>0.51</v>
      </c>
      <c r="L6" s="88">
        <v>0.65</v>
      </c>
      <c r="M6" s="181"/>
    </row>
    <row r="7" spans="2:13" ht="39.950000000000003" customHeight="1" x14ac:dyDescent="0.25">
      <c r="B7" s="150" t="s">
        <v>224</v>
      </c>
      <c r="C7" s="182"/>
      <c r="D7" s="185" t="s">
        <v>513</v>
      </c>
      <c r="E7" s="103" t="s">
        <v>242</v>
      </c>
      <c r="F7" s="90">
        <f t="shared" ref="F7:L7" si="0">F6*F5</f>
        <v>2570424.9900000002</v>
      </c>
      <c r="G7" s="90">
        <f t="shared" si="0"/>
        <v>464776.83</v>
      </c>
      <c r="H7" s="90">
        <f t="shared" si="0"/>
        <v>233802</v>
      </c>
      <c r="I7" s="90">
        <f t="shared" si="0"/>
        <v>163152.55000000002</v>
      </c>
      <c r="J7" s="90">
        <f t="shared" si="0"/>
        <v>101891.35</v>
      </c>
      <c r="K7" s="90">
        <f t="shared" si="0"/>
        <v>17475.66</v>
      </c>
      <c r="L7" s="90">
        <f t="shared" si="0"/>
        <v>20579</v>
      </c>
      <c r="M7" s="90">
        <f>SUM(F7:L7)</f>
        <v>3572102.3800000004</v>
      </c>
    </row>
    <row r="8" spans="2:13" ht="39.950000000000003" customHeight="1" x14ac:dyDescent="0.25">
      <c r="B8" s="180" t="s">
        <v>246</v>
      </c>
      <c r="C8" s="182" t="s">
        <v>238</v>
      </c>
      <c r="D8" s="103" t="s">
        <v>226</v>
      </c>
      <c r="E8" s="103" t="s">
        <v>295</v>
      </c>
      <c r="F8" s="183">
        <v>0.2</v>
      </c>
      <c r="G8" s="183">
        <v>0.5</v>
      </c>
      <c r="H8" s="183">
        <v>0.6</v>
      </c>
      <c r="I8" s="183">
        <v>0.6</v>
      </c>
      <c r="J8" s="183">
        <v>0.15</v>
      </c>
      <c r="K8" s="183">
        <v>0.25</v>
      </c>
      <c r="L8" s="183">
        <v>0.6</v>
      </c>
      <c r="M8" s="181"/>
    </row>
    <row r="9" spans="2:13" ht="39.950000000000003" customHeight="1" x14ac:dyDescent="0.25">
      <c r="B9" s="150" t="s">
        <v>235</v>
      </c>
      <c r="C9" s="182" t="s">
        <v>519</v>
      </c>
      <c r="D9" s="103" t="s">
        <v>226</v>
      </c>
      <c r="E9" s="103" t="s">
        <v>295</v>
      </c>
      <c r="F9" s="183">
        <v>0.5</v>
      </c>
      <c r="G9" s="183">
        <v>0.7</v>
      </c>
      <c r="H9" s="183">
        <v>0.6</v>
      </c>
      <c r="I9" s="183">
        <v>0.6</v>
      </c>
      <c r="J9" s="183">
        <v>0.5</v>
      </c>
      <c r="K9" s="183">
        <v>0.5</v>
      </c>
      <c r="L9" s="183">
        <v>0.5</v>
      </c>
      <c r="M9" s="181"/>
    </row>
    <row r="10" spans="2:13" ht="39.950000000000003" customHeight="1" x14ac:dyDescent="0.25">
      <c r="B10" s="180" t="s">
        <v>239</v>
      </c>
      <c r="C10" s="182" t="s">
        <v>240</v>
      </c>
      <c r="D10" s="185" t="s">
        <v>514</v>
      </c>
      <c r="E10" s="103" t="s">
        <v>207</v>
      </c>
      <c r="F10" s="90">
        <f t="shared" ref="F10:L10" si="1">F9*F8*F7</f>
        <v>257042.49900000004</v>
      </c>
      <c r="G10" s="90">
        <f t="shared" si="1"/>
        <v>162671.89050000001</v>
      </c>
      <c r="H10" s="90">
        <f t="shared" si="1"/>
        <v>84168.72</v>
      </c>
      <c r="I10" s="90">
        <f t="shared" si="1"/>
        <v>58734.918000000005</v>
      </c>
      <c r="J10" s="90">
        <f t="shared" si="1"/>
        <v>7641.8512499999997</v>
      </c>
      <c r="K10" s="90">
        <f t="shared" si="1"/>
        <v>2184.4575</v>
      </c>
      <c r="L10" s="90">
        <f t="shared" si="1"/>
        <v>6173.7</v>
      </c>
      <c r="M10" s="90">
        <f>SUM(F10:L10)</f>
        <v>578618.03625</v>
      </c>
    </row>
    <row r="11" spans="2:13" ht="39.950000000000003" customHeight="1" x14ac:dyDescent="0.25">
      <c r="B11" s="180" t="s">
        <v>245</v>
      </c>
      <c r="C11" s="182" t="s">
        <v>249</v>
      </c>
      <c r="D11" s="103" t="s">
        <v>226</v>
      </c>
      <c r="E11" s="103" t="s">
        <v>295</v>
      </c>
      <c r="F11" s="183">
        <v>0.5</v>
      </c>
      <c r="G11" s="183">
        <v>0.6</v>
      </c>
      <c r="H11" s="183">
        <v>0.6</v>
      </c>
      <c r="I11" s="183">
        <v>0.6</v>
      </c>
      <c r="J11" s="183">
        <v>0.5</v>
      </c>
      <c r="K11" s="183">
        <v>0.5</v>
      </c>
      <c r="L11" s="183">
        <v>0.5</v>
      </c>
      <c r="M11" s="181"/>
    </row>
    <row r="12" spans="2:13" ht="39.950000000000003" customHeight="1" x14ac:dyDescent="0.25">
      <c r="B12" s="150" t="s">
        <v>241</v>
      </c>
      <c r="C12" s="182" t="s">
        <v>520</v>
      </c>
      <c r="D12" s="103" t="s">
        <v>226</v>
      </c>
      <c r="E12" s="103" t="s">
        <v>295</v>
      </c>
      <c r="F12" s="183">
        <v>0.8</v>
      </c>
      <c r="G12" s="183">
        <v>0.9</v>
      </c>
      <c r="H12" s="183">
        <v>0.9</v>
      </c>
      <c r="I12" s="183">
        <v>0.9</v>
      </c>
      <c r="J12" s="183">
        <v>0.9</v>
      </c>
      <c r="K12" s="183">
        <v>0.9</v>
      </c>
      <c r="L12" s="183">
        <v>0.9</v>
      </c>
      <c r="M12" s="181"/>
    </row>
    <row r="13" spans="2:13" ht="39.950000000000003" customHeight="1" x14ac:dyDescent="0.25">
      <c r="B13" s="180" t="s">
        <v>247</v>
      </c>
      <c r="C13" s="182" t="s">
        <v>250</v>
      </c>
      <c r="D13" s="185" t="s">
        <v>515</v>
      </c>
      <c r="E13" s="103" t="s">
        <v>207</v>
      </c>
      <c r="F13" s="90">
        <f t="shared" ref="F13:L13" si="2">F7*F11*F12</f>
        <v>1028169.9960000002</v>
      </c>
      <c r="G13" s="90">
        <f t="shared" si="2"/>
        <v>250979.48819999999</v>
      </c>
      <c r="H13" s="90">
        <f t="shared" si="2"/>
        <v>126253.07999999999</v>
      </c>
      <c r="I13" s="90">
        <f t="shared" si="2"/>
        <v>88102.377000000008</v>
      </c>
      <c r="J13" s="90">
        <f t="shared" si="2"/>
        <v>45851.107500000006</v>
      </c>
      <c r="K13" s="90">
        <f t="shared" si="2"/>
        <v>7864.0470000000005</v>
      </c>
      <c r="L13" s="90">
        <f t="shared" si="2"/>
        <v>9260.5500000000011</v>
      </c>
      <c r="M13" s="90">
        <f>SUM(F13:L13)</f>
        <v>1556480.6457000002</v>
      </c>
    </row>
    <row r="14" spans="2:13" ht="39.950000000000003" customHeight="1" x14ac:dyDescent="0.25">
      <c r="B14" s="150" t="s">
        <v>248</v>
      </c>
      <c r="C14" s="182" t="s">
        <v>262</v>
      </c>
      <c r="D14" s="185" t="s">
        <v>517</v>
      </c>
      <c r="E14" s="103" t="s">
        <v>207</v>
      </c>
      <c r="F14" s="90">
        <f t="shared" ref="F14:L14" si="3">F13+F10</f>
        <v>1285212.4950000001</v>
      </c>
      <c r="G14" s="90">
        <f t="shared" si="3"/>
        <v>413651.3787</v>
      </c>
      <c r="H14" s="90">
        <f t="shared" si="3"/>
        <v>210421.8</v>
      </c>
      <c r="I14" s="90">
        <f t="shared" si="3"/>
        <v>146837.29500000001</v>
      </c>
      <c r="J14" s="90">
        <f t="shared" si="3"/>
        <v>53492.958750000005</v>
      </c>
      <c r="K14" s="90">
        <f t="shared" si="3"/>
        <v>10048.504500000001</v>
      </c>
      <c r="L14" s="90">
        <f t="shared" si="3"/>
        <v>15434.25</v>
      </c>
      <c r="M14" s="90">
        <f>SUM(F14:L14)</f>
        <v>2135098.6819500001</v>
      </c>
    </row>
    <row r="15" spans="2:13" ht="39.950000000000003" customHeight="1" x14ac:dyDescent="0.25">
      <c r="B15" s="150" t="s">
        <v>227</v>
      </c>
      <c r="C15" s="182" t="s">
        <v>263</v>
      </c>
      <c r="D15" s="103" t="s">
        <v>226</v>
      </c>
      <c r="E15" s="103" t="s">
        <v>295</v>
      </c>
      <c r="F15" s="183">
        <v>0.4</v>
      </c>
      <c r="G15" s="183">
        <v>0.3</v>
      </c>
      <c r="H15" s="183">
        <v>0.8</v>
      </c>
      <c r="I15" s="183">
        <v>0.8</v>
      </c>
      <c r="J15" s="183">
        <v>0.5</v>
      </c>
      <c r="K15" s="183">
        <v>0.5</v>
      </c>
      <c r="L15" s="183">
        <v>0.3</v>
      </c>
      <c r="M15" s="181"/>
    </row>
    <row r="16" spans="2:13" ht="39.950000000000003" customHeight="1" x14ac:dyDescent="0.25">
      <c r="B16" s="151" t="s">
        <v>228</v>
      </c>
      <c r="C16" s="182" t="s">
        <v>264</v>
      </c>
      <c r="D16" s="185" t="s">
        <v>518</v>
      </c>
      <c r="E16" s="103" t="s">
        <v>225</v>
      </c>
      <c r="F16" s="90">
        <f t="shared" ref="F16:L16" si="4">F15*F14</f>
        <v>514084.99800000008</v>
      </c>
      <c r="G16" s="90">
        <f t="shared" si="4"/>
        <v>124095.41360999999</v>
      </c>
      <c r="H16" s="90">
        <f t="shared" si="4"/>
        <v>168337.44</v>
      </c>
      <c r="I16" s="90">
        <f t="shared" si="4"/>
        <v>117469.83600000001</v>
      </c>
      <c r="J16" s="90">
        <f t="shared" si="4"/>
        <v>26746.479375000003</v>
      </c>
      <c r="K16" s="90">
        <f t="shared" si="4"/>
        <v>5024.2522500000005</v>
      </c>
      <c r="L16" s="90">
        <f t="shared" si="4"/>
        <v>4630.2749999999996</v>
      </c>
      <c r="M16" s="90">
        <f>SUM(F16:L16)</f>
        <v>960388.69423500006</v>
      </c>
    </row>
    <row r="17" spans="2:13" ht="39.950000000000003" customHeight="1" x14ac:dyDescent="0.25">
      <c r="B17" s="150" t="s">
        <v>265</v>
      </c>
      <c r="C17" s="182" t="s">
        <v>211</v>
      </c>
      <c r="D17" s="185" t="s">
        <v>516</v>
      </c>
      <c r="E17" s="103" t="s">
        <v>212</v>
      </c>
      <c r="F17" s="183">
        <f>20*0.97</f>
        <v>19.399999999999999</v>
      </c>
      <c r="G17" s="184">
        <f>20*0.95</f>
        <v>19</v>
      </c>
      <c r="H17" s="183">
        <f>20*0.96</f>
        <v>19.2</v>
      </c>
      <c r="I17" s="183">
        <f>20*0.96</f>
        <v>19.2</v>
      </c>
      <c r="J17" s="183">
        <f>20*0.98</f>
        <v>19.600000000000001</v>
      </c>
      <c r="K17" s="183">
        <f>20*0.98</f>
        <v>19.600000000000001</v>
      </c>
      <c r="L17" s="183">
        <f>20*0.94</f>
        <v>18.799999999999997</v>
      </c>
      <c r="M17" s="181"/>
    </row>
    <row r="18" spans="2:13" ht="39.950000000000003" customHeight="1" x14ac:dyDescent="0.25">
      <c r="B18" s="150" t="s">
        <v>213</v>
      </c>
      <c r="C18" s="182" t="s">
        <v>266</v>
      </c>
      <c r="D18" s="185" t="s">
        <v>521</v>
      </c>
      <c r="E18" s="103" t="s">
        <v>214</v>
      </c>
      <c r="F18" s="90">
        <f t="shared" ref="F18:L18" si="5">F17*F16</f>
        <v>9973248.9612000007</v>
      </c>
      <c r="G18" s="90">
        <f t="shared" si="5"/>
        <v>2357812.8585899998</v>
      </c>
      <c r="H18" s="90">
        <f t="shared" si="5"/>
        <v>3232078.8479999998</v>
      </c>
      <c r="I18" s="90">
        <f t="shared" si="5"/>
        <v>2255420.8511999999</v>
      </c>
      <c r="J18" s="90">
        <f t="shared" si="5"/>
        <v>524230.99575000012</v>
      </c>
      <c r="K18" s="90">
        <f t="shared" si="5"/>
        <v>98475.344100000017</v>
      </c>
      <c r="L18" s="90">
        <f t="shared" si="5"/>
        <v>87049.169999999984</v>
      </c>
      <c r="M18" s="90">
        <f>SUM(F18:L18)</f>
        <v>18528317.028839998</v>
      </c>
    </row>
    <row r="19" spans="2:13" ht="39.950000000000003" customHeight="1" x14ac:dyDescent="0.25">
      <c r="B19" s="150" t="s">
        <v>213</v>
      </c>
      <c r="C19" s="182" t="s">
        <v>266</v>
      </c>
      <c r="D19" s="185" t="s">
        <v>523</v>
      </c>
      <c r="E19" s="103" t="s">
        <v>301</v>
      </c>
      <c r="F19" s="90">
        <f>F18/1000</f>
        <v>9973.2489612000008</v>
      </c>
      <c r="G19" s="90">
        <f t="shared" ref="G19:L19" si="6">G18/1000</f>
        <v>2357.8128585899999</v>
      </c>
      <c r="H19" s="90">
        <f t="shared" si="6"/>
        <v>3232.0788479999997</v>
      </c>
      <c r="I19" s="90">
        <f t="shared" si="6"/>
        <v>2255.4208512</v>
      </c>
      <c r="J19" s="90">
        <f t="shared" si="6"/>
        <v>524.23099575000015</v>
      </c>
      <c r="K19" s="90">
        <f t="shared" si="6"/>
        <v>98.475344100000015</v>
      </c>
      <c r="L19" s="90">
        <f t="shared" si="6"/>
        <v>87.049169999999989</v>
      </c>
      <c r="M19" s="90">
        <f>SUM(F19:L19)</f>
        <v>18528.317028839996</v>
      </c>
    </row>
    <row r="20" spans="2:13" ht="32.25" customHeight="1" x14ac:dyDescent="0.25"/>
    <row r="21" spans="2:13" ht="51.75" customHeight="1" x14ac:dyDescent="0.25">
      <c r="B21" s="249" t="s">
        <v>522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7" spans="2:13" ht="52.5" customHeight="1" x14ac:dyDescent="0.25">
      <c r="B27" s="250" t="s">
        <v>524</v>
      </c>
      <c r="C27" s="251"/>
      <c r="D27" s="251"/>
      <c r="E27" s="251"/>
      <c r="F27" s="251"/>
      <c r="G27" s="251"/>
      <c r="H27" s="251"/>
      <c r="I27" s="252"/>
      <c r="J27" s="48">
        <f>SUM(F19:L19)</f>
        <v>18528.317028839996</v>
      </c>
    </row>
  </sheetData>
  <mergeCells count="2">
    <mergeCell ref="B21:M21"/>
    <mergeCell ref="B27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3" zoomScale="110" zoomScaleNormal="90" zoomScaleSheetLayoutView="110" workbookViewId="0">
      <selection activeCell="B28" sqref="B28"/>
    </sheetView>
  </sheetViews>
  <sheetFormatPr baseColWidth="10" defaultRowHeight="15" x14ac:dyDescent="0.25"/>
  <cols>
    <col min="1" max="1" width="33" customWidth="1"/>
    <col min="2" max="2" width="55" customWidth="1"/>
    <col min="3" max="3" width="21" customWidth="1"/>
    <col min="4" max="4" width="20.7109375" style="18" customWidth="1"/>
    <col min="5" max="5" width="22.42578125" style="18" customWidth="1"/>
    <col min="6" max="6" width="20.7109375" style="18" customWidth="1"/>
    <col min="7" max="7" width="5.28515625" customWidth="1"/>
    <col min="8" max="8" width="3.42578125" customWidth="1"/>
    <col min="9" max="9" width="13.42578125" customWidth="1"/>
    <col min="12" max="12" width="14.28515625" customWidth="1"/>
    <col min="14" max="14" width="14" customWidth="1"/>
  </cols>
  <sheetData>
    <row r="1" spans="1:14" ht="27" customHeight="1" x14ac:dyDescent="0.25">
      <c r="A1" s="3" t="s">
        <v>139</v>
      </c>
    </row>
    <row r="3" spans="1:14" ht="24.95" customHeight="1" x14ac:dyDescent="0.25">
      <c r="A3" s="189" t="s">
        <v>534</v>
      </c>
      <c r="B3" s="190" t="s">
        <v>110</v>
      </c>
      <c r="C3" s="15"/>
      <c r="D3" s="7" t="s">
        <v>111</v>
      </c>
      <c r="E3" s="7" t="s">
        <v>112</v>
      </c>
      <c r="F3" s="7" t="s">
        <v>113</v>
      </c>
      <c r="G3" s="14"/>
      <c r="J3" s="192"/>
      <c r="K3" s="192"/>
      <c r="L3" s="192"/>
      <c r="M3" s="192"/>
      <c r="N3" s="192"/>
    </row>
    <row r="4" spans="1:14" ht="24.95" customHeight="1" x14ac:dyDescent="0.25">
      <c r="A4" s="189" t="s">
        <v>280</v>
      </c>
      <c r="B4" s="150" t="s">
        <v>7</v>
      </c>
      <c r="C4" s="6"/>
      <c r="D4" s="6" t="s">
        <v>114</v>
      </c>
      <c r="E4" s="6" t="s">
        <v>114</v>
      </c>
      <c r="F4" s="6" t="s">
        <v>114</v>
      </c>
      <c r="G4" s="14"/>
      <c r="J4" s="193"/>
      <c r="K4" s="193"/>
      <c r="L4" s="193"/>
      <c r="M4" s="193"/>
      <c r="N4" s="193"/>
    </row>
    <row r="5" spans="1:14" ht="24.95" customHeight="1" x14ac:dyDescent="0.25">
      <c r="A5" s="189" t="s">
        <v>535</v>
      </c>
      <c r="B5" s="150" t="s">
        <v>115</v>
      </c>
      <c r="C5" s="6" t="s">
        <v>12</v>
      </c>
      <c r="D5" s="202">
        <v>1774000000</v>
      </c>
      <c r="E5" s="202">
        <v>2457683</v>
      </c>
      <c r="F5" s="202">
        <v>17200000</v>
      </c>
      <c r="G5" s="14"/>
      <c r="J5" s="193"/>
      <c r="K5" s="193"/>
      <c r="L5" s="194"/>
      <c r="M5" s="194"/>
      <c r="N5" s="194"/>
    </row>
    <row r="6" spans="1:14" ht="24.95" customHeight="1" x14ac:dyDescent="0.25">
      <c r="A6" s="189" t="s">
        <v>282</v>
      </c>
      <c r="B6" s="150" t="s">
        <v>13</v>
      </c>
      <c r="C6" s="6"/>
      <c r="D6" s="203" t="s">
        <v>116</v>
      </c>
      <c r="E6" s="203" t="s">
        <v>543</v>
      </c>
      <c r="F6" s="203" t="s">
        <v>116</v>
      </c>
      <c r="G6" s="14"/>
      <c r="J6" s="193"/>
      <c r="K6" s="193"/>
      <c r="L6" s="193"/>
      <c r="M6" s="193"/>
      <c r="N6" s="193"/>
    </row>
    <row r="7" spans="1:14" ht="24.75" customHeight="1" x14ac:dyDescent="0.25">
      <c r="A7" s="261" t="s">
        <v>536</v>
      </c>
      <c r="B7" s="256" t="s">
        <v>117</v>
      </c>
      <c r="C7" s="257" t="s">
        <v>17</v>
      </c>
      <c r="D7" s="258">
        <v>2E-3</v>
      </c>
      <c r="E7" s="258">
        <v>15.77</v>
      </c>
      <c r="F7" s="204">
        <v>0.56000000000000005</v>
      </c>
      <c r="G7" s="42" t="s">
        <v>131</v>
      </c>
      <c r="H7" s="20"/>
      <c r="J7" s="260"/>
      <c r="K7" s="260"/>
      <c r="L7" s="268"/>
      <c r="M7" s="268"/>
      <c r="N7" s="195"/>
    </row>
    <row r="8" spans="1:14" ht="24.95" customHeight="1" x14ac:dyDescent="0.25">
      <c r="A8" s="261"/>
      <c r="B8" s="256"/>
      <c r="C8" s="257"/>
      <c r="D8" s="258"/>
      <c r="E8" s="258"/>
      <c r="F8" s="203">
        <v>4.8000000000000001E-2</v>
      </c>
      <c r="G8" s="43"/>
      <c r="J8" s="260"/>
      <c r="K8" s="260"/>
      <c r="L8" s="268"/>
      <c r="M8" s="268"/>
      <c r="N8" s="193"/>
    </row>
    <row r="9" spans="1:14" ht="24.95" customHeight="1" x14ac:dyDescent="0.25">
      <c r="A9" s="189" t="s">
        <v>282</v>
      </c>
      <c r="B9" s="150" t="s">
        <v>13</v>
      </c>
      <c r="C9" s="6"/>
      <c r="D9" s="203" t="s">
        <v>118</v>
      </c>
      <c r="E9" s="203" t="s">
        <v>119</v>
      </c>
      <c r="F9" s="203" t="s">
        <v>120</v>
      </c>
      <c r="G9" s="43"/>
      <c r="J9" s="193"/>
      <c r="K9" s="193"/>
      <c r="L9" s="193"/>
      <c r="M9" s="193"/>
      <c r="N9" s="193"/>
    </row>
    <row r="10" spans="1:14" ht="24.95" customHeight="1" x14ac:dyDescent="0.25">
      <c r="A10" s="189" t="s">
        <v>537</v>
      </c>
      <c r="B10" s="150" t="s">
        <v>121</v>
      </c>
      <c r="C10" s="6" t="s">
        <v>23</v>
      </c>
      <c r="D10" s="202">
        <f>D5*D7</f>
        <v>3548000</v>
      </c>
      <c r="E10" s="202">
        <f>E5*E7</f>
        <v>38757660.909999996</v>
      </c>
      <c r="F10" s="202">
        <f>(0.75*F5*F7)+(0.25*F5*F8)</f>
        <v>7430400.0000000009</v>
      </c>
      <c r="G10" s="42" t="s">
        <v>20</v>
      </c>
      <c r="J10" s="193"/>
      <c r="K10" s="193"/>
      <c r="L10" s="194"/>
      <c r="M10" s="194"/>
      <c r="N10" s="196"/>
    </row>
    <row r="11" spans="1:14" ht="24.95" customHeight="1" x14ac:dyDescent="0.25">
      <c r="A11" s="265" t="s">
        <v>538</v>
      </c>
      <c r="B11" s="262" t="s">
        <v>122</v>
      </c>
      <c r="C11" s="6" t="s">
        <v>129</v>
      </c>
      <c r="D11" s="203">
        <v>0.38300000000000001</v>
      </c>
      <c r="E11" s="203">
        <v>0.61599999999999999</v>
      </c>
      <c r="F11" s="203">
        <v>0.51300000000000001</v>
      </c>
      <c r="G11" s="14"/>
      <c r="J11" s="260"/>
      <c r="K11" s="193"/>
      <c r="L11" s="196"/>
      <c r="M11" s="196"/>
      <c r="N11" s="196"/>
    </row>
    <row r="12" spans="1:14" ht="24.95" customHeight="1" x14ac:dyDescent="0.25">
      <c r="A12" s="266"/>
      <c r="B12" s="263"/>
      <c r="C12" s="6" t="s">
        <v>130</v>
      </c>
      <c r="D12" s="203">
        <v>0.64500000000000002</v>
      </c>
      <c r="E12" s="203">
        <v>1.0369999999999999</v>
      </c>
      <c r="F12" s="203">
        <v>0.86399999999999999</v>
      </c>
      <c r="G12" s="14"/>
      <c r="J12" s="260"/>
      <c r="K12" s="193"/>
      <c r="L12" s="196"/>
      <c r="M12" s="196"/>
      <c r="N12" s="196"/>
    </row>
    <row r="13" spans="1:14" ht="24.95" customHeight="1" x14ac:dyDescent="0.25">
      <c r="A13" s="267"/>
      <c r="B13" s="264"/>
      <c r="C13" s="10" t="s">
        <v>138</v>
      </c>
      <c r="D13" s="205">
        <f>AVERAGE(D11:D12)</f>
        <v>0.51400000000000001</v>
      </c>
      <c r="E13" s="205">
        <f>AVERAGE(E11:E12)</f>
        <v>0.82650000000000001</v>
      </c>
      <c r="F13" s="205">
        <f>AVERAGE(F11:F12)</f>
        <v>0.6885</v>
      </c>
      <c r="G13" s="14"/>
      <c r="J13" s="193"/>
      <c r="K13" s="193"/>
      <c r="L13" s="193"/>
      <c r="M13" s="193"/>
      <c r="N13" s="193"/>
    </row>
    <row r="14" spans="1:14" ht="24.95" customHeight="1" x14ac:dyDescent="0.25">
      <c r="A14" s="189" t="s">
        <v>282</v>
      </c>
      <c r="B14" s="150" t="s">
        <v>13</v>
      </c>
      <c r="C14" s="6"/>
      <c r="D14" s="203" t="s">
        <v>118</v>
      </c>
      <c r="E14" s="203" t="s">
        <v>118</v>
      </c>
      <c r="F14" s="203" t="s">
        <v>118</v>
      </c>
      <c r="G14" s="14"/>
      <c r="J14" s="197"/>
      <c r="K14" s="193"/>
      <c r="L14" s="197"/>
      <c r="M14" s="197"/>
      <c r="N14" s="197"/>
    </row>
    <row r="15" spans="1:14" ht="33" customHeight="1" x14ac:dyDescent="0.25">
      <c r="A15" s="191" t="s">
        <v>539</v>
      </c>
      <c r="B15" s="151" t="s">
        <v>123</v>
      </c>
      <c r="C15" s="85" t="s">
        <v>545</v>
      </c>
      <c r="D15" s="206" t="str">
        <f>D34</f>
        <v>1,358.9 - 2,288.5</v>
      </c>
      <c r="E15" s="206" t="str">
        <f>E34</f>
        <v>2,3871.7 - 40,186.6</v>
      </c>
      <c r="F15" s="206" t="str">
        <f>F34</f>
        <v>3,811.8 - 6,419.9</v>
      </c>
      <c r="G15" s="14"/>
      <c r="J15" s="193"/>
      <c r="K15" s="193"/>
      <c r="L15" s="196"/>
      <c r="M15" s="196"/>
      <c r="N15" s="196"/>
    </row>
    <row r="16" spans="1:14" ht="24.95" customHeight="1" x14ac:dyDescent="0.25">
      <c r="A16" s="189" t="s">
        <v>287</v>
      </c>
      <c r="B16" s="150" t="s">
        <v>544</v>
      </c>
      <c r="C16" s="6" t="s">
        <v>34</v>
      </c>
      <c r="D16" s="203">
        <v>0.8</v>
      </c>
      <c r="E16" s="203">
        <v>0.8</v>
      </c>
      <c r="F16" s="203">
        <v>0.8</v>
      </c>
      <c r="G16" s="14"/>
      <c r="J16" s="193"/>
      <c r="K16" s="193"/>
      <c r="L16" s="194"/>
      <c r="M16" s="194"/>
      <c r="N16" s="194"/>
    </row>
    <row r="17" spans="1:14" ht="24.95" customHeight="1" x14ac:dyDescent="0.25">
      <c r="A17" s="189" t="s">
        <v>540</v>
      </c>
      <c r="B17" s="150" t="s">
        <v>124</v>
      </c>
      <c r="C17" s="6" t="s">
        <v>125</v>
      </c>
      <c r="D17" s="202">
        <f>D10*D16</f>
        <v>2838400</v>
      </c>
      <c r="E17" s="202">
        <f>E10*E16</f>
        <v>31006128.728</v>
      </c>
      <c r="F17" s="202">
        <f>F10*F16</f>
        <v>5944320.0000000009</v>
      </c>
      <c r="G17" s="14"/>
      <c r="J17" s="260"/>
      <c r="K17" s="260"/>
      <c r="L17" s="260"/>
      <c r="M17" s="193"/>
      <c r="N17" s="260"/>
    </row>
    <row r="18" spans="1:14" ht="35.25" customHeight="1" x14ac:dyDescent="0.25">
      <c r="A18" s="189" t="s">
        <v>541</v>
      </c>
      <c r="B18" s="151" t="s">
        <v>126</v>
      </c>
      <c r="C18" s="6" t="s">
        <v>550</v>
      </c>
      <c r="D18" s="206" t="str">
        <f>D40</f>
        <v>1,087.1 - 1,830.8</v>
      </c>
      <c r="E18" s="206" t="str">
        <f>E40</f>
        <v>19,099.8 - 32,153.4</v>
      </c>
      <c r="F18" s="206" t="str">
        <f>F40</f>
        <v>3,049.4 - 5,135.9</v>
      </c>
      <c r="G18" s="14"/>
      <c r="J18" s="260"/>
      <c r="K18" s="260"/>
      <c r="L18" s="260"/>
      <c r="M18" s="198"/>
      <c r="N18" s="260"/>
    </row>
    <row r="19" spans="1:14" ht="21.75" customHeight="1" x14ac:dyDescent="0.25">
      <c r="A19" s="97"/>
      <c r="B19" s="97"/>
      <c r="C19" s="14"/>
      <c r="D19" s="22"/>
      <c r="E19" s="22"/>
      <c r="F19" s="22"/>
      <c r="G19" s="14"/>
      <c r="J19" s="197"/>
      <c r="K19" s="193"/>
      <c r="L19" s="199"/>
      <c r="M19" s="200"/>
      <c r="N19" s="199"/>
    </row>
    <row r="20" spans="1:14" ht="24.95" customHeight="1" x14ac:dyDescent="0.25">
      <c r="A20" s="191" t="s">
        <v>542</v>
      </c>
      <c r="B20" s="151" t="s">
        <v>127</v>
      </c>
      <c r="C20" s="6" t="s">
        <v>551</v>
      </c>
      <c r="D20" s="11">
        <f>(D10*D13)/1000</f>
        <v>1823.672</v>
      </c>
      <c r="E20" s="11">
        <f>(E10*E13)/1000</f>
        <v>32033.206742114999</v>
      </c>
      <c r="F20" s="11">
        <f>(F10*F13)/1000</f>
        <v>5115.8304000000007</v>
      </c>
      <c r="G20" s="14"/>
      <c r="J20" s="31"/>
      <c r="K20" s="31"/>
      <c r="L20" s="31"/>
      <c r="M20" s="31"/>
      <c r="N20" s="31"/>
    </row>
    <row r="21" spans="1:14" ht="24.95" customHeight="1" x14ac:dyDescent="0.25">
      <c r="B21" s="19"/>
      <c r="C21" s="19"/>
      <c r="J21" s="31"/>
      <c r="K21" s="31"/>
      <c r="L21" s="31"/>
      <c r="M21" s="31"/>
      <c r="N21" s="31"/>
    </row>
    <row r="22" spans="1:14" ht="41.25" customHeight="1" x14ac:dyDescent="0.25">
      <c r="B22" s="259" t="s">
        <v>128</v>
      </c>
      <c r="C22" s="259"/>
      <c r="D22" s="259"/>
      <c r="E22" s="259"/>
      <c r="F22" s="259"/>
      <c r="G22" s="259"/>
      <c r="J22" s="201"/>
      <c r="K22" s="31"/>
      <c r="L22" s="31"/>
      <c r="M22" s="31"/>
      <c r="N22" s="31"/>
    </row>
    <row r="25" spans="1:14" ht="33.75" customHeight="1" x14ac:dyDescent="0.25">
      <c r="B25" s="253" t="s">
        <v>185</v>
      </c>
      <c r="C25" s="254"/>
      <c r="D25" s="254"/>
      <c r="E25" s="255"/>
      <c r="F25" s="49">
        <f>SUM(D20:F20)</f>
        <v>38972.709142114996</v>
      </c>
    </row>
    <row r="28" spans="1:14" ht="18.75" x14ac:dyDescent="0.3">
      <c r="B28" s="47" t="s">
        <v>197</v>
      </c>
    </row>
    <row r="30" spans="1:14" x14ac:dyDescent="0.25">
      <c r="B30" s="39" t="s">
        <v>195</v>
      </c>
      <c r="C30" s="6" t="s">
        <v>546</v>
      </c>
      <c r="D30" s="45">
        <f>D10*D11/1000</f>
        <v>1358.884</v>
      </c>
      <c r="E30" s="45">
        <f>(E10*E11)/1000</f>
        <v>23874.719120559999</v>
      </c>
      <c r="F30" s="45">
        <f>(F10*F11)/1000</f>
        <v>3811.7952000000005</v>
      </c>
    </row>
    <row r="31" spans="1:14" x14ac:dyDescent="0.25">
      <c r="B31" s="44"/>
      <c r="C31" s="6" t="s">
        <v>547</v>
      </c>
      <c r="D31" s="45">
        <f>D10*D12/1000</f>
        <v>2288.46</v>
      </c>
      <c r="E31" s="45">
        <f>E10*E12/1000</f>
        <v>40191.694363669994</v>
      </c>
      <c r="F31" s="45">
        <f>F10*F12/1000</f>
        <v>6419.865600000001</v>
      </c>
    </row>
    <row r="32" spans="1:14" x14ac:dyDescent="0.25">
      <c r="B32" s="44"/>
      <c r="D32"/>
      <c r="E32"/>
      <c r="F32"/>
    </row>
    <row r="33" spans="2:6" ht="21" x14ac:dyDescent="0.25">
      <c r="D33" s="4" t="str">
        <f>CONCATENATE(D30," - ",D31)</f>
        <v>1358.884 - 2288.46</v>
      </c>
      <c r="E33" s="4" t="str">
        <f>CONCATENATE(E30," - ",E31)</f>
        <v>23874.71912056 - 40191.69436367</v>
      </c>
      <c r="F33" s="4" t="str">
        <f>CONCATENATE(F30," - ",F31)</f>
        <v>3811.7952 - 6419.8656</v>
      </c>
    </row>
    <row r="34" spans="2:6" x14ac:dyDescent="0.25">
      <c r="D34" s="46" t="s">
        <v>132</v>
      </c>
      <c r="E34" s="46" t="s">
        <v>133</v>
      </c>
      <c r="F34" s="46" t="s">
        <v>134</v>
      </c>
    </row>
    <row r="36" spans="2:6" x14ac:dyDescent="0.25">
      <c r="B36" s="39" t="s">
        <v>196</v>
      </c>
      <c r="C36" s="6" t="s">
        <v>548</v>
      </c>
      <c r="D36" s="45">
        <f>(D17*D11)/1000</f>
        <v>1087.1071999999999</v>
      </c>
      <c r="E36" s="45">
        <f>(E17*E11)/1000</f>
        <v>19099.775296447999</v>
      </c>
      <c r="F36" s="45">
        <f>(F17*F11)/1000</f>
        <v>3049.4361600000007</v>
      </c>
    </row>
    <row r="37" spans="2:6" x14ac:dyDescent="0.25">
      <c r="C37" s="6" t="s">
        <v>549</v>
      </c>
      <c r="D37" s="45">
        <f>(D17*D12)/1000</f>
        <v>1830.768</v>
      </c>
      <c r="E37" s="45">
        <f>(E17*E12)/1000</f>
        <v>32153.355490935995</v>
      </c>
      <c r="F37" s="45">
        <f>(F17*F12)/1000</f>
        <v>5135.8924800000004</v>
      </c>
    </row>
    <row r="38" spans="2:6" x14ac:dyDescent="0.25">
      <c r="D38"/>
      <c r="E38"/>
      <c r="F38"/>
    </row>
    <row r="39" spans="2:6" ht="22.5" x14ac:dyDescent="0.25">
      <c r="D39" s="8" t="str">
        <f>CONCATENATE(D36," - ",D37)</f>
        <v>1087.1072 - 1830.768</v>
      </c>
      <c r="E39" s="8" t="str">
        <f>CONCATENATE(E36," - ",E37)</f>
        <v>19099.775296448 - 32153.355490936</v>
      </c>
      <c r="F39" s="8" t="str">
        <f>CONCATENATE(F36," - ",F37)</f>
        <v>3049.43616 - 5135.89248</v>
      </c>
    </row>
    <row r="40" spans="2:6" x14ac:dyDescent="0.25">
      <c r="D40" s="46" t="s">
        <v>135</v>
      </c>
      <c r="E40" s="46" t="s">
        <v>136</v>
      </c>
      <c r="F40" s="46" t="s">
        <v>137</v>
      </c>
    </row>
  </sheetData>
  <mergeCells count="18">
    <mergeCell ref="J17:J18"/>
    <mergeCell ref="K17:K18"/>
    <mergeCell ref="L17:L18"/>
    <mergeCell ref="N17:N18"/>
    <mergeCell ref="A7:A8"/>
    <mergeCell ref="B11:B13"/>
    <mergeCell ref="A11:A13"/>
    <mergeCell ref="J7:J8"/>
    <mergeCell ref="K7:K8"/>
    <mergeCell ref="L7:L8"/>
    <mergeCell ref="M7:M8"/>
    <mergeCell ref="J11:J12"/>
    <mergeCell ref="B25:E25"/>
    <mergeCell ref="B7:B8"/>
    <mergeCell ref="C7:C8"/>
    <mergeCell ref="D7:D8"/>
    <mergeCell ref="E7:E8"/>
    <mergeCell ref="B22:G22"/>
  </mergeCells>
  <pageMargins left="0.70866141732283472" right="0.70866141732283472" top="0.43" bottom="0.42" header="0.31496062992125984" footer="0.31496062992125984"/>
  <pageSetup scale="60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view="pageBreakPreview" zoomScale="90" zoomScaleNormal="100" zoomScaleSheetLayoutView="90" workbookViewId="0">
      <selection activeCell="G7" sqref="G7"/>
    </sheetView>
  </sheetViews>
  <sheetFormatPr baseColWidth="10" defaultRowHeight="15" x14ac:dyDescent="0.25"/>
  <cols>
    <col min="1" max="1" width="3" customWidth="1"/>
    <col min="2" max="2" width="48.140625" customWidth="1"/>
    <col min="3" max="3" width="66.5703125" customWidth="1"/>
    <col min="4" max="4" width="15.5703125" customWidth="1"/>
    <col min="5" max="6" width="24.42578125" customWidth="1"/>
    <col min="7" max="7" width="21.140625" customWidth="1"/>
    <col min="8" max="8" width="5.5703125" customWidth="1"/>
  </cols>
  <sheetData>
    <row r="2" spans="2:9" ht="30" customHeight="1" x14ac:dyDescent="0.25">
      <c r="B2" s="207" t="s">
        <v>534</v>
      </c>
      <c r="C2" s="190" t="s">
        <v>110</v>
      </c>
      <c r="D2" s="15"/>
      <c r="E2" s="7" t="s">
        <v>111</v>
      </c>
      <c r="F2" s="7" t="s">
        <v>112</v>
      </c>
      <c r="G2" s="7" t="s">
        <v>113</v>
      </c>
      <c r="H2" s="14"/>
    </row>
    <row r="3" spans="2:9" ht="20.100000000000001" customHeight="1" x14ac:dyDescent="0.25">
      <c r="B3" s="207" t="s">
        <v>280</v>
      </c>
      <c r="C3" s="150" t="s">
        <v>7</v>
      </c>
      <c r="D3" s="208"/>
      <c r="E3" s="208" t="s">
        <v>114</v>
      </c>
      <c r="F3" s="208" t="s">
        <v>114</v>
      </c>
      <c r="G3" s="208" t="s">
        <v>114</v>
      </c>
      <c r="H3" s="14"/>
    </row>
    <row r="4" spans="2:9" ht="20.100000000000001" customHeight="1" x14ac:dyDescent="0.25">
      <c r="B4" s="207" t="s">
        <v>535</v>
      </c>
      <c r="C4" s="150" t="s">
        <v>115</v>
      </c>
      <c r="D4" s="208" t="s">
        <v>12</v>
      </c>
      <c r="E4" s="202">
        <v>1774000000</v>
      </c>
      <c r="F4" s="202">
        <v>2457683</v>
      </c>
      <c r="G4" s="202">
        <v>17200000</v>
      </c>
      <c r="H4" s="14"/>
    </row>
    <row r="5" spans="2:9" ht="20.100000000000001" customHeight="1" x14ac:dyDescent="0.25">
      <c r="B5" s="207" t="s">
        <v>282</v>
      </c>
      <c r="C5" s="150" t="s">
        <v>13</v>
      </c>
      <c r="D5" s="208"/>
      <c r="E5" s="209" t="s">
        <v>116</v>
      </c>
      <c r="F5" s="209" t="s">
        <v>543</v>
      </c>
      <c r="G5" s="209" t="s">
        <v>116</v>
      </c>
      <c r="H5" s="14"/>
    </row>
    <row r="6" spans="2:9" ht="20.100000000000001" customHeight="1" x14ac:dyDescent="0.25">
      <c r="B6" s="261" t="s">
        <v>536</v>
      </c>
      <c r="C6" s="256" t="s">
        <v>117</v>
      </c>
      <c r="D6" s="257" t="s">
        <v>17</v>
      </c>
      <c r="E6" s="258">
        <v>2E-3</v>
      </c>
      <c r="F6" s="258">
        <v>15.77</v>
      </c>
      <c r="G6" s="204">
        <v>0.56000000000000005</v>
      </c>
      <c r="H6" s="42" t="s">
        <v>131</v>
      </c>
    </row>
    <row r="7" spans="2:9" ht="20.100000000000001" customHeight="1" x14ac:dyDescent="0.25">
      <c r="B7" s="261"/>
      <c r="C7" s="256"/>
      <c r="D7" s="257"/>
      <c r="E7" s="258"/>
      <c r="F7" s="258"/>
      <c r="G7" s="209">
        <v>4.8000000000000001E-2</v>
      </c>
      <c r="H7" s="43"/>
    </row>
    <row r="8" spans="2:9" ht="20.100000000000001" customHeight="1" x14ac:dyDescent="0.25">
      <c r="B8" s="207" t="s">
        <v>282</v>
      </c>
      <c r="C8" s="150" t="s">
        <v>13</v>
      </c>
      <c r="D8" s="208"/>
      <c r="E8" s="209" t="s">
        <v>118</v>
      </c>
      <c r="F8" s="209" t="s">
        <v>119</v>
      </c>
      <c r="G8" s="209" t="s">
        <v>120</v>
      </c>
      <c r="H8" s="43"/>
    </row>
    <row r="9" spans="2:9" ht="20.100000000000001" customHeight="1" x14ac:dyDescent="0.25">
      <c r="B9" s="207" t="s">
        <v>537</v>
      </c>
      <c r="C9" s="150" t="s">
        <v>121</v>
      </c>
      <c r="D9" s="208" t="s">
        <v>23</v>
      </c>
      <c r="E9" s="202">
        <f>E4*E6</f>
        <v>3548000</v>
      </c>
      <c r="F9" s="202">
        <f>F4*F6</f>
        <v>38757660.909999996</v>
      </c>
      <c r="G9" s="202">
        <f>(0.75*G4*G6)+(0.25*G4*G7)</f>
        <v>7430400.0000000009</v>
      </c>
      <c r="H9" s="42" t="s">
        <v>20</v>
      </c>
    </row>
    <row r="10" spans="2:9" ht="8.25" customHeight="1" x14ac:dyDescent="0.25">
      <c r="B10" s="313"/>
      <c r="C10" s="313"/>
      <c r="D10" s="313"/>
      <c r="E10" s="313"/>
      <c r="F10" s="313"/>
      <c r="G10" s="313"/>
      <c r="H10" s="314"/>
    </row>
    <row r="11" spans="2:9" x14ac:dyDescent="0.25">
      <c r="B11" s="14"/>
      <c r="C11" s="150" t="s">
        <v>590</v>
      </c>
      <c r="D11" s="22" t="s">
        <v>567</v>
      </c>
      <c r="E11" s="304">
        <v>0.29899999999999999</v>
      </c>
      <c r="F11" s="304">
        <v>0.08</v>
      </c>
      <c r="G11" s="304">
        <v>0.1</v>
      </c>
      <c r="H11" s="14"/>
      <c r="I11" s="303"/>
    </row>
    <row r="12" spans="2:9" x14ac:dyDescent="0.25">
      <c r="B12" s="14"/>
      <c r="C12" s="150" t="s">
        <v>591</v>
      </c>
      <c r="D12" s="22" t="s">
        <v>568</v>
      </c>
      <c r="E12" s="304">
        <v>0.80600000000000005</v>
      </c>
      <c r="F12" s="304">
        <v>0.12</v>
      </c>
      <c r="G12" s="304">
        <v>0.2</v>
      </c>
      <c r="H12" s="14"/>
      <c r="I12" s="303"/>
    </row>
    <row r="13" spans="2:9" x14ac:dyDescent="0.25">
      <c r="B13" s="14"/>
      <c r="C13" s="150" t="s">
        <v>592</v>
      </c>
      <c r="D13" s="22" t="s">
        <v>569</v>
      </c>
      <c r="E13" s="304">
        <v>0.60699999999999998</v>
      </c>
      <c r="F13" s="304">
        <v>0.75</v>
      </c>
      <c r="G13" s="304">
        <v>0.64</v>
      </c>
      <c r="H13" s="14"/>
    </row>
    <row r="14" spans="2:9" x14ac:dyDescent="0.25">
      <c r="B14" s="14"/>
      <c r="C14" s="150" t="s">
        <v>593</v>
      </c>
      <c r="D14" s="22" t="s">
        <v>570</v>
      </c>
      <c r="E14" s="304">
        <v>0.65300000000000002</v>
      </c>
      <c r="F14" s="304">
        <v>0.85</v>
      </c>
      <c r="G14" s="304">
        <v>0.8</v>
      </c>
      <c r="H14" s="14"/>
    </row>
    <row r="15" spans="2:9" x14ac:dyDescent="0.25">
      <c r="B15" s="14"/>
      <c r="C15" s="150" t="s">
        <v>594</v>
      </c>
      <c r="D15" s="22" t="s">
        <v>59</v>
      </c>
      <c r="E15" s="298">
        <v>5.8</v>
      </c>
      <c r="F15" s="298">
        <v>4.5</v>
      </c>
      <c r="G15" s="298">
        <v>8.8000000000000007</v>
      </c>
      <c r="H15" s="14"/>
    </row>
    <row r="16" spans="2:9" x14ac:dyDescent="0.25">
      <c r="B16" s="14"/>
      <c r="C16" s="150" t="s">
        <v>595</v>
      </c>
      <c r="D16" s="22" t="s">
        <v>61</v>
      </c>
      <c r="E16" s="298">
        <v>6.5</v>
      </c>
      <c r="F16" s="298">
        <v>7.8</v>
      </c>
      <c r="G16" s="298">
        <v>12.3</v>
      </c>
      <c r="H16" s="14"/>
    </row>
    <row r="17" spans="2:8" x14ac:dyDescent="0.25">
      <c r="B17" s="308" t="s">
        <v>282</v>
      </c>
      <c r="C17" s="150" t="s">
        <v>13</v>
      </c>
      <c r="D17" s="22"/>
      <c r="E17" s="298" t="s">
        <v>468</v>
      </c>
      <c r="F17" s="298" t="s">
        <v>468</v>
      </c>
      <c r="G17" s="298" t="s">
        <v>468</v>
      </c>
      <c r="H17" s="14"/>
    </row>
    <row r="18" spans="2:8" x14ac:dyDescent="0.25">
      <c r="B18" s="14"/>
      <c r="C18" s="287" t="s">
        <v>596</v>
      </c>
      <c r="D18" s="296" t="s">
        <v>566</v>
      </c>
      <c r="E18" s="305">
        <f>E11*E13</f>
        <v>0.18149299999999999</v>
      </c>
      <c r="F18" s="305">
        <f>F11*F13</f>
        <v>0.06</v>
      </c>
      <c r="G18" s="305">
        <f>G11*G13</f>
        <v>6.4000000000000001E-2</v>
      </c>
      <c r="H18" s="14"/>
    </row>
    <row r="19" spans="2:8" s="286" customFormat="1" x14ac:dyDescent="0.25">
      <c r="B19" s="97"/>
      <c r="C19" s="97"/>
      <c r="D19" s="101" t="s">
        <v>571</v>
      </c>
      <c r="E19" s="307">
        <f>E11*E14</f>
        <v>0.195247</v>
      </c>
      <c r="F19" s="299">
        <f>F11*F14</f>
        <v>6.8000000000000005E-2</v>
      </c>
      <c r="G19" s="307">
        <f>G11*G14</f>
        <v>8.0000000000000016E-2</v>
      </c>
      <c r="H19" s="97"/>
    </row>
    <row r="20" spans="2:8" s="286" customFormat="1" x14ac:dyDescent="0.25">
      <c r="B20" s="97"/>
      <c r="C20" s="97"/>
      <c r="D20" s="101" t="s">
        <v>572</v>
      </c>
      <c r="E20" s="307">
        <f>E12*E13</f>
        <v>0.48924200000000001</v>
      </c>
      <c r="F20" s="307">
        <f>F12*F13</f>
        <v>0.09</v>
      </c>
      <c r="G20" s="307">
        <f>G12*G13</f>
        <v>0.128</v>
      </c>
      <c r="H20" s="97"/>
    </row>
    <row r="21" spans="2:8" x14ac:dyDescent="0.25">
      <c r="B21" s="14"/>
      <c r="C21" s="287" t="s">
        <v>597</v>
      </c>
      <c r="D21" s="296" t="s">
        <v>573</v>
      </c>
      <c r="E21" s="305">
        <f>E12*E14</f>
        <v>0.52631800000000006</v>
      </c>
      <c r="F21" s="305">
        <f>F12*F14</f>
        <v>0.10199999999999999</v>
      </c>
      <c r="G21" s="305">
        <f>G12*G14</f>
        <v>0.16000000000000003</v>
      </c>
      <c r="H21" s="14"/>
    </row>
    <row r="22" spans="2:8" x14ac:dyDescent="0.25">
      <c r="B22" s="14"/>
      <c r="C22" s="288" t="s">
        <v>598</v>
      </c>
      <c r="D22" s="297" t="s">
        <v>574</v>
      </c>
      <c r="E22" s="306">
        <f>E18*E15</f>
        <v>1.0526593999999998</v>
      </c>
      <c r="F22" s="306">
        <f>F18*F15</f>
        <v>0.27</v>
      </c>
      <c r="G22" s="306">
        <f>G18*G15</f>
        <v>0.56320000000000003</v>
      </c>
      <c r="H22" s="14"/>
    </row>
    <row r="23" spans="2:8" x14ac:dyDescent="0.25">
      <c r="B23" s="14"/>
      <c r="C23" s="14"/>
      <c r="D23" s="101" t="s">
        <v>575</v>
      </c>
      <c r="E23" s="304">
        <f>E19*E15</f>
        <v>1.1324326</v>
      </c>
      <c r="F23" s="304">
        <f>F19*F15</f>
        <v>0.30600000000000005</v>
      </c>
      <c r="G23" s="304">
        <f>G19*G15</f>
        <v>0.70400000000000018</v>
      </c>
      <c r="H23" s="14"/>
    </row>
    <row r="24" spans="2:8" x14ac:dyDescent="0.25">
      <c r="B24" s="302"/>
      <c r="C24" s="14"/>
      <c r="D24" s="101" t="s">
        <v>576</v>
      </c>
      <c r="E24" s="304">
        <f>E20*E15</f>
        <v>2.8376036</v>
      </c>
      <c r="F24" s="298">
        <f>F20*F15</f>
        <v>0.40499999999999997</v>
      </c>
      <c r="G24" s="298">
        <f>G20*G15</f>
        <v>1.1264000000000001</v>
      </c>
      <c r="H24" s="14"/>
    </row>
    <row r="25" spans="2:8" x14ac:dyDescent="0.25">
      <c r="B25" s="14"/>
      <c r="C25" s="14"/>
      <c r="D25" s="101" t="s">
        <v>577</v>
      </c>
      <c r="E25" s="304">
        <f>E21*E15</f>
        <v>3.0526444000000001</v>
      </c>
      <c r="F25" s="298">
        <f>F21*F15</f>
        <v>0.45899999999999996</v>
      </c>
      <c r="G25" s="298">
        <f>G21*G15</f>
        <v>1.4080000000000004</v>
      </c>
      <c r="H25" s="14"/>
    </row>
    <row r="26" spans="2:8" x14ac:dyDescent="0.25">
      <c r="B26" s="14"/>
      <c r="C26" s="14"/>
      <c r="D26" s="101" t="s">
        <v>578</v>
      </c>
      <c r="E26" s="304">
        <f>E18*E16</f>
        <v>1.1797044999999999</v>
      </c>
      <c r="F26" s="298">
        <f>F18*F16</f>
        <v>0.46799999999999997</v>
      </c>
      <c r="G26" s="298">
        <f>G18*G16</f>
        <v>0.78720000000000001</v>
      </c>
      <c r="H26" s="14"/>
    </row>
    <row r="27" spans="2:8" x14ac:dyDescent="0.25">
      <c r="B27" s="14"/>
      <c r="C27" s="14"/>
      <c r="D27" s="101" t="s">
        <v>579</v>
      </c>
      <c r="E27" s="304">
        <f>E19*E16</f>
        <v>1.2691055</v>
      </c>
      <c r="F27" s="304">
        <f>F19*F16</f>
        <v>0.53039999999999998</v>
      </c>
      <c r="G27" s="304">
        <f>G19*G16</f>
        <v>0.98400000000000021</v>
      </c>
      <c r="H27" s="14"/>
    </row>
    <row r="28" spans="2:8" x14ac:dyDescent="0.25">
      <c r="B28" s="14"/>
      <c r="C28" s="14"/>
      <c r="D28" s="101" t="s">
        <v>580</v>
      </c>
      <c r="E28" s="304">
        <f>E20*E16</f>
        <v>3.1800730000000001</v>
      </c>
      <c r="F28" s="304">
        <f>F20*F16</f>
        <v>0.70199999999999996</v>
      </c>
      <c r="G28" s="304">
        <f>G20*G16</f>
        <v>1.5744</v>
      </c>
      <c r="H28" s="14"/>
    </row>
    <row r="29" spans="2:8" x14ac:dyDescent="0.25">
      <c r="B29" s="293" t="s">
        <v>538</v>
      </c>
      <c r="C29" s="288" t="s">
        <v>599</v>
      </c>
      <c r="D29" s="297" t="s">
        <v>581</v>
      </c>
      <c r="E29" s="306">
        <f>E21*E16</f>
        <v>3.4210670000000003</v>
      </c>
      <c r="F29" s="306">
        <f>F21*F16</f>
        <v>0.79559999999999997</v>
      </c>
      <c r="G29" s="306">
        <f>G21*G16</f>
        <v>1.9680000000000004</v>
      </c>
      <c r="H29" s="14"/>
    </row>
    <row r="30" spans="2:8" ht="20.100000000000001" customHeight="1" x14ac:dyDescent="0.25">
      <c r="B30" s="293"/>
      <c r="C30" s="151" t="s">
        <v>559</v>
      </c>
      <c r="D30" s="298" t="s">
        <v>582</v>
      </c>
      <c r="E30" s="202">
        <f>E22*E9</f>
        <v>3734835.5511999992</v>
      </c>
      <c r="F30" s="202">
        <f>F22*F9</f>
        <v>10464568.445699999</v>
      </c>
      <c r="G30" s="202">
        <f>G22*G9</f>
        <v>4184801.2800000007</v>
      </c>
      <c r="H30" s="14"/>
    </row>
    <row r="31" spans="2:8" ht="20.100000000000001" customHeight="1" x14ac:dyDescent="0.25">
      <c r="B31" s="293"/>
      <c r="C31" s="151" t="s">
        <v>560</v>
      </c>
      <c r="D31" s="298" t="s">
        <v>583</v>
      </c>
      <c r="E31" s="202">
        <f>E29*E9</f>
        <v>12137945.716000002</v>
      </c>
      <c r="F31" s="202">
        <f>F29*F9</f>
        <v>30835595.019995995</v>
      </c>
      <c r="G31" s="202">
        <f>G29*G9</f>
        <v>14623027.200000005</v>
      </c>
      <c r="H31" s="14"/>
    </row>
    <row r="32" spans="2:8" ht="20.100000000000001" customHeight="1" x14ac:dyDescent="0.25">
      <c r="B32" s="293" t="s">
        <v>539</v>
      </c>
      <c r="C32" s="309" t="s">
        <v>557</v>
      </c>
      <c r="D32" s="312"/>
      <c r="E32" s="311">
        <f>E30/1000</f>
        <v>3734.8355511999994</v>
      </c>
      <c r="F32" s="311">
        <f>F30/1000</f>
        <v>10464.568445699999</v>
      </c>
      <c r="G32" s="311">
        <f>G30/1000</f>
        <v>4184.8012800000006</v>
      </c>
      <c r="H32" s="14"/>
    </row>
    <row r="33" spans="1:9" ht="20.100000000000001" customHeight="1" x14ac:dyDescent="0.25">
      <c r="B33" s="293"/>
      <c r="C33" s="309" t="s">
        <v>558</v>
      </c>
      <c r="D33" s="312"/>
      <c r="E33" s="311">
        <f>E31/1000</f>
        <v>12137.945716000002</v>
      </c>
      <c r="F33" s="311">
        <f>F31/1000</f>
        <v>30835.595019995995</v>
      </c>
      <c r="G33" s="311">
        <f>G31/1000</f>
        <v>14623.027200000004</v>
      </c>
      <c r="H33" s="14"/>
    </row>
    <row r="34" spans="1:9" ht="20.100000000000001" customHeight="1" x14ac:dyDescent="0.25">
      <c r="A34" s="294"/>
      <c r="B34" s="191" t="s">
        <v>287</v>
      </c>
      <c r="C34" s="150" t="s">
        <v>544</v>
      </c>
      <c r="D34" s="208" t="s">
        <v>34</v>
      </c>
      <c r="E34" s="209">
        <v>0.8</v>
      </c>
      <c r="F34" s="209">
        <v>0.8</v>
      </c>
      <c r="G34" s="209">
        <v>0.8</v>
      </c>
      <c r="H34" s="14"/>
    </row>
    <row r="35" spans="1:9" ht="20.100000000000001" customHeight="1" x14ac:dyDescent="0.25">
      <c r="A35" s="294"/>
      <c r="B35" s="308" t="s">
        <v>282</v>
      </c>
      <c r="C35" s="150" t="s">
        <v>13</v>
      </c>
      <c r="D35" s="208"/>
      <c r="E35" s="209"/>
      <c r="F35" s="209"/>
      <c r="G35" s="209"/>
      <c r="H35" s="14"/>
    </row>
    <row r="36" spans="1:9" ht="20.100000000000001" customHeight="1" x14ac:dyDescent="0.25">
      <c r="A36" s="294"/>
      <c r="B36" s="191" t="s">
        <v>540</v>
      </c>
      <c r="C36" s="150" t="s">
        <v>124</v>
      </c>
      <c r="D36" s="208" t="s">
        <v>125</v>
      </c>
      <c r="E36" s="295">
        <f>E34*E9</f>
        <v>2838400</v>
      </c>
      <c r="F36" s="295">
        <f t="shared" ref="F36:G36" si="0">F34*F9</f>
        <v>31006128.728</v>
      </c>
      <c r="G36" s="295">
        <f t="shared" si="0"/>
        <v>5944320.0000000009</v>
      </c>
      <c r="H36" s="14"/>
    </row>
    <row r="37" spans="1:9" ht="20.100000000000001" customHeight="1" x14ac:dyDescent="0.25">
      <c r="A37" s="294"/>
      <c r="B37" s="300" t="s">
        <v>541</v>
      </c>
      <c r="C37" s="309" t="s">
        <v>584</v>
      </c>
      <c r="D37" s="310" t="s">
        <v>586</v>
      </c>
      <c r="E37" s="311">
        <f>(E36*E22)/1000</f>
        <v>2987.8684409599991</v>
      </c>
      <c r="F37" s="311">
        <f t="shared" ref="F37:G37" si="1">(F36*F22)/1000</f>
        <v>8371.6547565600013</v>
      </c>
      <c r="G37" s="311">
        <f t="shared" si="1"/>
        <v>3347.8410240000007</v>
      </c>
      <c r="H37" s="14"/>
    </row>
    <row r="38" spans="1:9" ht="20.100000000000001" customHeight="1" x14ac:dyDescent="0.25">
      <c r="A38" s="294"/>
      <c r="B38" s="301"/>
      <c r="C38" s="309" t="s">
        <v>585</v>
      </c>
      <c r="D38" s="310" t="s">
        <v>587</v>
      </c>
      <c r="E38" s="311">
        <f>(E36*E29)/1000</f>
        <v>9710.3565728000012</v>
      </c>
      <c r="F38" s="311">
        <f t="shared" ref="F38:G38" si="2">(F36*F29)/1000</f>
        <v>24668.476015996799</v>
      </c>
      <c r="G38" s="311">
        <f t="shared" si="2"/>
        <v>11698.421760000003</v>
      </c>
      <c r="H38" s="14"/>
    </row>
    <row r="39" spans="1:9" x14ac:dyDescent="0.25">
      <c r="B39" s="207"/>
    </row>
    <row r="40" spans="1:9" ht="18.75" x14ac:dyDescent="0.25">
      <c r="B40" s="14"/>
      <c r="C40" s="253" t="s">
        <v>588</v>
      </c>
      <c r="D40" s="254"/>
      <c r="E40" s="254"/>
      <c r="F40" s="255"/>
      <c r="G40" s="49">
        <f>SUM(E37:G37)</f>
        <v>14707.364221520002</v>
      </c>
    </row>
    <row r="41" spans="1:9" ht="18.75" x14ac:dyDescent="0.25">
      <c r="B41" s="14"/>
      <c r="C41" s="253" t="s">
        <v>589</v>
      </c>
      <c r="D41" s="254"/>
      <c r="E41" s="254"/>
      <c r="F41" s="255"/>
      <c r="G41" s="49">
        <f>SUM(E38:G38)</f>
        <v>46077.254348796807</v>
      </c>
    </row>
    <row r="44" spans="1:9" x14ac:dyDescent="0.25">
      <c r="B44" s="207"/>
      <c r="C44" s="151" t="s">
        <v>561</v>
      </c>
      <c r="D44" s="14"/>
      <c r="E44" s="14">
        <v>54.6</v>
      </c>
      <c r="F44" s="14">
        <v>54.6</v>
      </c>
      <c r="G44" s="14">
        <v>54.6</v>
      </c>
    </row>
    <row r="45" spans="1:9" x14ac:dyDescent="0.25">
      <c r="B45" s="207"/>
      <c r="C45" s="151"/>
      <c r="D45" s="14"/>
      <c r="E45" s="14"/>
      <c r="F45" s="14"/>
      <c r="G45" s="14"/>
    </row>
    <row r="46" spans="1:9" x14ac:dyDescent="0.25">
      <c r="B46" s="14"/>
      <c r="C46" s="151" t="s">
        <v>562</v>
      </c>
      <c r="D46" s="14"/>
      <c r="E46" s="289">
        <f>$F$44*E32</f>
        <v>203922.02109551997</v>
      </c>
      <c r="F46" s="289">
        <f>$F$44*F32</f>
        <v>571365.43713521992</v>
      </c>
      <c r="G46" s="289">
        <f>$F$44*G32</f>
        <v>228490.14988800004</v>
      </c>
    </row>
    <row r="47" spans="1:9" x14ac:dyDescent="0.25">
      <c r="B47" s="97"/>
      <c r="C47" s="151" t="s">
        <v>563</v>
      </c>
      <c r="D47" s="14"/>
      <c r="E47" s="289">
        <f>$F$44*E33</f>
        <v>662731.83609360014</v>
      </c>
      <c r="F47" s="289">
        <f>$F$44*F33</f>
        <v>1683623.4880917813</v>
      </c>
      <c r="G47" s="289">
        <f>$F$44*G33</f>
        <v>798417.28512000025</v>
      </c>
      <c r="I47" s="44" t="s">
        <v>321</v>
      </c>
    </row>
    <row r="48" spans="1:9" x14ac:dyDescent="0.25">
      <c r="B48" s="191"/>
      <c r="C48" s="290" t="s">
        <v>564</v>
      </c>
      <c r="D48" s="291"/>
      <c r="E48" s="292">
        <f>E46/1000000</f>
        <v>0.20392202109551996</v>
      </c>
      <c r="F48" s="292">
        <f>F46/1000000</f>
        <v>0.57136543713521992</v>
      </c>
      <c r="G48" s="292">
        <f>G46/1000000</f>
        <v>0.22849014988800004</v>
      </c>
      <c r="I48" s="292">
        <f>SUM(E48:H48)</f>
        <v>1.00377760811874</v>
      </c>
    </row>
    <row r="49" spans="2:9" x14ac:dyDescent="0.25">
      <c r="B49" s="14"/>
      <c r="C49" s="290" t="s">
        <v>565</v>
      </c>
      <c r="D49" s="291"/>
      <c r="E49" s="292">
        <f>E47/1000000</f>
        <v>0.66273183609360009</v>
      </c>
      <c r="F49" s="292">
        <f>F47/1000000</f>
        <v>1.6836234880917813</v>
      </c>
      <c r="G49" s="292">
        <f>G47/1000000</f>
        <v>0.79841728512000021</v>
      </c>
      <c r="I49" s="292">
        <f>SUM(E49:H49)</f>
        <v>3.1447726093053818</v>
      </c>
    </row>
  </sheetData>
  <mergeCells count="10">
    <mergeCell ref="B6:B7"/>
    <mergeCell ref="B29:B31"/>
    <mergeCell ref="B32:B33"/>
    <mergeCell ref="B37:B38"/>
    <mergeCell ref="C40:F40"/>
    <mergeCell ref="C41:F41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opLeftCell="A4" workbookViewId="0">
      <selection activeCell="J19" sqref="J19"/>
    </sheetView>
  </sheetViews>
  <sheetFormatPr baseColWidth="10" defaultRowHeight="15" x14ac:dyDescent="0.25"/>
  <cols>
    <col min="2" max="2" width="39.85546875" customWidth="1"/>
    <col min="3" max="3" width="13" customWidth="1"/>
    <col min="4" max="6" width="20.7109375" customWidth="1"/>
    <col min="10" max="10" width="22.42578125" customWidth="1"/>
  </cols>
  <sheetData>
    <row r="1" spans="2:10" ht="21.75" customHeight="1" x14ac:dyDescent="0.25">
      <c r="B1" s="3" t="s">
        <v>152</v>
      </c>
    </row>
    <row r="3" spans="2:10" ht="30" customHeight="1" x14ac:dyDescent="0.25">
      <c r="B3" s="25" t="s">
        <v>140</v>
      </c>
      <c r="C3" s="25"/>
      <c r="D3" s="26" t="s">
        <v>141</v>
      </c>
      <c r="E3" s="26" t="s">
        <v>142</v>
      </c>
      <c r="F3" s="26" t="s">
        <v>143</v>
      </c>
    </row>
    <row r="4" spans="2:10" ht="24.95" customHeight="1" x14ac:dyDescent="0.25">
      <c r="B4" s="16" t="s">
        <v>7</v>
      </c>
      <c r="C4" s="6"/>
      <c r="D4" s="6" t="s">
        <v>144</v>
      </c>
      <c r="E4" s="6" t="s">
        <v>145</v>
      </c>
      <c r="F4" s="73" t="s">
        <v>145</v>
      </c>
    </row>
    <row r="5" spans="2:10" ht="24.95" customHeight="1" x14ac:dyDescent="0.25">
      <c r="B5" s="16" t="s">
        <v>146</v>
      </c>
      <c r="C5" s="6" t="s">
        <v>12</v>
      </c>
      <c r="D5" s="9">
        <v>8973539</v>
      </c>
      <c r="E5" s="9">
        <v>8973539</v>
      </c>
      <c r="F5" s="9">
        <v>1751879189</v>
      </c>
    </row>
    <row r="6" spans="2:10" ht="24.95" customHeight="1" x14ac:dyDescent="0.25">
      <c r="B6" s="16" t="s">
        <v>16</v>
      </c>
      <c r="C6" s="6" t="s">
        <v>17</v>
      </c>
      <c r="D6" s="29">
        <v>0.05</v>
      </c>
      <c r="E6" s="29">
        <v>0.06</v>
      </c>
      <c r="F6" s="72">
        <v>0.06</v>
      </c>
    </row>
    <row r="7" spans="2:10" ht="24.95" customHeight="1" x14ac:dyDescent="0.25">
      <c r="B7" s="16" t="s">
        <v>147</v>
      </c>
      <c r="C7" s="6" t="s">
        <v>148</v>
      </c>
      <c r="D7" s="9">
        <f>D5*D6</f>
        <v>448676.95</v>
      </c>
      <c r="E7" s="9">
        <f t="shared" ref="E7:F7" si="0">E5*E6</f>
        <v>538412.34</v>
      </c>
      <c r="F7" s="9">
        <f t="shared" si="0"/>
        <v>105112751.33999999</v>
      </c>
      <c r="H7" s="30"/>
      <c r="I7" s="30"/>
      <c r="J7" s="30"/>
    </row>
    <row r="8" spans="2:10" ht="24.95" customHeight="1" x14ac:dyDescent="0.25">
      <c r="B8" s="16" t="s">
        <v>149</v>
      </c>
      <c r="C8" s="6" t="s">
        <v>24</v>
      </c>
      <c r="D8" s="6">
        <v>1.41</v>
      </c>
      <c r="E8" s="6">
        <v>0.32</v>
      </c>
      <c r="F8" s="6">
        <v>0.32</v>
      </c>
      <c r="H8" s="31"/>
      <c r="I8" s="31"/>
      <c r="J8" s="31"/>
    </row>
    <row r="9" spans="2:10" ht="24.95" customHeight="1" x14ac:dyDescent="0.25">
      <c r="B9" s="17" t="s">
        <v>150</v>
      </c>
      <c r="C9" s="6" t="s">
        <v>32</v>
      </c>
      <c r="D9" s="21">
        <f>(D7*D8)/1000</f>
        <v>632.63449950000006</v>
      </c>
      <c r="E9" s="21">
        <f t="shared" ref="E9:F9" si="1">(E7*E8)/1000</f>
        <v>172.29194879999997</v>
      </c>
      <c r="F9" s="21">
        <f t="shared" si="1"/>
        <v>33636.080428799993</v>
      </c>
      <c r="H9" s="32"/>
      <c r="I9" s="32"/>
      <c r="J9" s="33"/>
    </row>
    <row r="10" spans="2:10" ht="24.95" customHeight="1" x14ac:dyDescent="0.25">
      <c r="B10" s="16" t="s">
        <v>33</v>
      </c>
      <c r="C10" s="6" t="s">
        <v>34</v>
      </c>
      <c r="D10" s="6">
        <v>0.5</v>
      </c>
      <c r="E10" s="6">
        <v>0.9</v>
      </c>
      <c r="F10" s="6">
        <v>0.9</v>
      </c>
      <c r="H10" s="31"/>
      <c r="I10" s="31"/>
      <c r="J10" s="31"/>
    </row>
    <row r="11" spans="2:10" ht="24.95" customHeight="1" x14ac:dyDescent="0.25">
      <c r="B11" s="16" t="s">
        <v>124</v>
      </c>
      <c r="C11" s="6" t="s">
        <v>37</v>
      </c>
      <c r="D11" s="9">
        <f>D7*D10</f>
        <v>224338.47500000001</v>
      </c>
      <c r="E11" s="9">
        <f t="shared" ref="E11:F11" si="2">E7*E10</f>
        <v>484571.10599999997</v>
      </c>
      <c r="F11" s="9">
        <f t="shared" si="2"/>
        <v>94601476.205999985</v>
      </c>
      <c r="H11" s="30"/>
      <c r="I11" s="30"/>
      <c r="J11" s="30"/>
    </row>
    <row r="12" spans="2:10" ht="24.95" customHeight="1" x14ac:dyDescent="0.25">
      <c r="B12" s="17" t="s">
        <v>187</v>
      </c>
      <c r="C12" s="6" t="s">
        <v>38</v>
      </c>
      <c r="D12" s="21">
        <f>D9*D10</f>
        <v>316.31724975000003</v>
      </c>
      <c r="E12" s="21">
        <f t="shared" ref="E12:F12" si="3">E9*E10</f>
        <v>155.06275391999998</v>
      </c>
      <c r="F12" s="21">
        <f t="shared" si="3"/>
        <v>30272.472385919995</v>
      </c>
      <c r="H12" s="32"/>
      <c r="I12" s="32"/>
      <c r="J12" s="33"/>
    </row>
    <row r="13" spans="2:10" ht="24.95" customHeight="1" x14ac:dyDescent="0.25">
      <c r="B13" s="14"/>
      <c r="C13" s="86"/>
      <c r="D13" s="269" t="s">
        <v>151</v>
      </c>
      <c r="E13" s="270"/>
      <c r="F13" s="271"/>
    </row>
    <row r="18" spans="2:6" s="40" customFormat="1" ht="30.75" customHeight="1" x14ac:dyDescent="0.25">
      <c r="B18" s="253" t="s">
        <v>185</v>
      </c>
      <c r="C18" s="254"/>
      <c r="D18" s="254"/>
      <c r="E18" s="255"/>
      <c r="F18" s="49">
        <f>SUM(D12:F12)</f>
        <v>30743.852389589996</v>
      </c>
    </row>
  </sheetData>
  <mergeCells count="2">
    <mergeCell ref="B18:E18"/>
    <mergeCell ref="D13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B19" sqref="B19:H19"/>
    </sheetView>
  </sheetViews>
  <sheetFormatPr baseColWidth="10" defaultRowHeight="15" x14ac:dyDescent="0.25"/>
  <cols>
    <col min="2" max="2" width="36.42578125" customWidth="1"/>
    <col min="3" max="3" width="12.140625" customWidth="1"/>
    <col min="4" max="6" width="20.7109375" customWidth="1"/>
    <col min="7" max="7" width="24.28515625" customWidth="1"/>
    <col min="8" max="8" width="20.7109375" customWidth="1"/>
  </cols>
  <sheetData>
    <row r="1" spans="2:8" ht="22.5" customHeight="1" x14ac:dyDescent="0.25">
      <c r="B1" s="3" t="s">
        <v>173</v>
      </c>
    </row>
    <row r="3" spans="2:8" ht="40.5" customHeight="1" x14ac:dyDescent="0.25">
      <c r="B3" s="25" t="s">
        <v>154</v>
      </c>
      <c r="C3" s="25"/>
      <c r="D3" s="26" t="s">
        <v>155</v>
      </c>
      <c r="E3" s="26" t="s">
        <v>156</v>
      </c>
      <c r="F3" s="26" t="s">
        <v>157</v>
      </c>
      <c r="G3" s="26" t="s">
        <v>158</v>
      </c>
      <c r="H3" s="26" t="s">
        <v>159</v>
      </c>
    </row>
    <row r="4" spans="2:8" ht="20.100000000000001" customHeight="1" x14ac:dyDescent="0.25">
      <c r="B4" s="15" t="s">
        <v>7</v>
      </c>
      <c r="C4" s="16"/>
      <c r="D4" s="7" t="s">
        <v>160</v>
      </c>
      <c r="E4" s="7" t="s">
        <v>161</v>
      </c>
      <c r="F4" s="7" t="s">
        <v>162</v>
      </c>
      <c r="G4" s="7" t="s">
        <v>163</v>
      </c>
      <c r="H4" s="7" t="s">
        <v>164</v>
      </c>
    </row>
    <row r="5" spans="2:8" ht="20.100000000000001" customHeight="1" x14ac:dyDescent="0.25">
      <c r="B5" s="15" t="s">
        <v>165</v>
      </c>
      <c r="C5" s="6" t="s">
        <v>12</v>
      </c>
      <c r="D5" s="9">
        <v>824082</v>
      </c>
      <c r="E5" s="9">
        <v>273300</v>
      </c>
      <c r="F5" s="9">
        <v>26608837</v>
      </c>
      <c r="G5" s="9">
        <v>8062758</v>
      </c>
      <c r="H5" s="9">
        <v>32251030</v>
      </c>
    </row>
    <row r="6" spans="2:8" ht="20.100000000000001" customHeight="1" x14ac:dyDescent="0.25">
      <c r="B6" s="15" t="s">
        <v>13</v>
      </c>
      <c r="C6" s="6"/>
      <c r="D6" s="6" t="s">
        <v>166</v>
      </c>
      <c r="E6" s="6" t="s">
        <v>15</v>
      </c>
      <c r="F6" s="6" t="s">
        <v>35</v>
      </c>
      <c r="G6" s="6" t="s">
        <v>35</v>
      </c>
      <c r="H6" s="6" t="s">
        <v>35</v>
      </c>
    </row>
    <row r="7" spans="2:8" ht="20.100000000000001" customHeight="1" x14ac:dyDescent="0.25">
      <c r="B7" s="15" t="s">
        <v>167</v>
      </c>
      <c r="C7" s="6" t="s">
        <v>17</v>
      </c>
      <c r="D7" s="6">
        <v>0.39400000000000002</v>
      </c>
      <c r="E7" s="6">
        <v>10</v>
      </c>
      <c r="F7" s="6">
        <v>0.1</v>
      </c>
      <c r="G7" s="6">
        <v>1</v>
      </c>
      <c r="H7" s="6">
        <v>0.05</v>
      </c>
    </row>
    <row r="8" spans="2:8" ht="20.100000000000001" customHeight="1" x14ac:dyDescent="0.25">
      <c r="B8" s="15" t="s">
        <v>13</v>
      </c>
      <c r="C8" s="6"/>
      <c r="D8" s="6" t="s">
        <v>168</v>
      </c>
      <c r="E8" s="6" t="s">
        <v>35</v>
      </c>
      <c r="F8" s="6" t="s">
        <v>35</v>
      </c>
      <c r="G8" s="6" t="s">
        <v>35</v>
      </c>
      <c r="H8" s="6" t="s">
        <v>35</v>
      </c>
    </row>
    <row r="9" spans="2:8" ht="20.100000000000001" customHeight="1" x14ac:dyDescent="0.25">
      <c r="B9" s="15" t="s">
        <v>169</v>
      </c>
      <c r="C9" s="6" t="s">
        <v>23</v>
      </c>
      <c r="D9" s="9">
        <f>D5*D7</f>
        <v>324688.30800000002</v>
      </c>
      <c r="E9" s="9">
        <f t="shared" ref="E9:H9" si="0">E5*E7</f>
        <v>2733000</v>
      </c>
      <c r="F9" s="9">
        <f t="shared" si="0"/>
        <v>2660883.7000000002</v>
      </c>
      <c r="G9" s="9">
        <f t="shared" si="0"/>
        <v>8062758</v>
      </c>
      <c r="H9" s="9">
        <f t="shared" si="0"/>
        <v>1612551.5</v>
      </c>
    </row>
    <row r="10" spans="2:8" ht="20.100000000000001" customHeight="1" x14ac:dyDescent="0.25">
      <c r="B10" s="15" t="s">
        <v>122</v>
      </c>
      <c r="C10" s="6" t="s">
        <v>24</v>
      </c>
      <c r="D10" s="29">
        <v>1.4</v>
      </c>
      <c r="E10" s="29">
        <v>1</v>
      </c>
      <c r="F10" s="29">
        <v>1.6</v>
      </c>
      <c r="G10" s="29">
        <v>4.74</v>
      </c>
      <c r="H10" s="29">
        <v>2.2200000000000002</v>
      </c>
    </row>
    <row r="11" spans="2:8" ht="20.100000000000001" customHeight="1" x14ac:dyDescent="0.25">
      <c r="B11" s="15" t="s">
        <v>13</v>
      </c>
      <c r="C11" s="6"/>
      <c r="D11" s="257" t="s">
        <v>35</v>
      </c>
      <c r="E11" s="257"/>
      <c r="F11" s="257"/>
      <c r="G11" s="257"/>
      <c r="H11" s="257"/>
    </row>
    <row r="12" spans="2:8" ht="20.100000000000001" customHeight="1" x14ac:dyDescent="0.25">
      <c r="B12" s="34" t="s">
        <v>170</v>
      </c>
      <c r="C12" s="6" t="s">
        <v>32</v>
      </c>
      <c r="D12" s="21">
        <f>(D9*D10)/1000</f>
        <v>454.56363120000003</v>
      </c>
      <c r="E12" s="21">
        <f t="shared" ref="E12:H12" si="1">(E9*E10)/1000</f>
        <v>2733</v>
      </c>
      <c r="F12" s="21">
        <f t="shared" si="1"/>
        <v>4257.4139200000009</v>
      </c>
      <c r="G12" s="21">
        <f t="shared" si="1"/>
        <v>38217.47292</v>
      </c>
      <c r="H12" s="21">
        <f t="shared" si="1"/>
        <v>3579.8643300000003</v>
      </c>
    </row>
    <row r="13" spans="2:8" ht="20.100000000000001" customHeight="1" x14ac:dyDescent="0.25">
      <c r="B13" s="15" t="s">
        <v>33</v>
      </c>
      <c r="C13" s="6" t="s">
        <v>34</v>
      </c>
      <c r="D13" s="35">
        <v>1</v>
      </c>
      <c r="E13" s="35">
        <v>1</v>
      </c>
      <c r="F13" s="35">
        <v>0.4</v>
      </c>
      <c r="G13" s="35">
        <v>0.8</v>
      </c>
      <c r="H13" s="35">
        <v>0.1</v>
      </c>
    </row>
    <row r="14" spans="2:8" ht="20.100000000000001" customHeight="1" x14ac:dyDescent="0.25">
      <c r="B14" s="15" t="s">
        <v>13</v>
      </c>
      <c r="C14" s="6"/>
      <c r="D14" s="257" t="s">
        <v>171</v>
      </c>
      <c r="E14" s="257"/>
      <c r="F14" s="257"/>
      <c r="G14" s="257"/>
      <c r="H14" s="257"/>
    </row>
    <row r="15" spans="2:8" ht="20.100000000000001" customHeight="1" x14ac:dyDescent="0.25">
      <c r="B15" s="34" t="s">
        <v>172</v>
      </c>
      <c r="C15" s="6" t="s">
        <v>38</v>
      </c>
      <c r="D15" s="21">
        <f>D12*D13</f>
        <v>454.56363120000003</v>
      </c>
      <c r="E15" s="21">
        <f t="shared" ref="E15:H15" si="2">E12*E13</f>
        <v>2733</v>
      </c>
      <c r="F15" s="21">
        <f t="shared" si="2"/>
        <v>1702.9655680000005</v>
      </c>
      <c r="G15" s="21">
        <f t="shared" si="2"/>
        <v>30573.978336</v>
      </c>
      <c r="H15" s="21">
        <f t="shared" si="2"/>
        <v>357.98643300000003</v>
      </c>
    </row>
    <row r="19" spans="2:8" ht="33" customHeight="1" x14ac:dyDescent="0.25">
      <c r="B19" s="272" t="s">
        <v>186</v>
      </c>
      <c r="C19" s="272"/>
      <c r="D19" s="272"/>
      <c r="E19" s="272"/>
      <c r="F19" s="272"/>
      <c r="G19" s="272"/>
      <c r="H19" s="49">
        <f>SUM(D15:H15)</f>
        <v>35822.493968199997</v>
      </c>
    </row>
    <row r="21" spans="2:8" x14ac:dyDescent="0.25">
      <c r="H21" s="41"/>
    </row>
  </sheetData>
  <mergeCells count="3">
    <mergeCell ref="D14:H14"/>
    <mergeCell ref="B19:G19"/>
    <mergeCell ref="D11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B4" sqref="B4:H9"/>
    </sheetView>
  </sheetViews>
  <sheetFormatPr baseColWidth="10" defaultRowHeight="15" x14ac:dyDescent="0.25"/>
  <cols>
    <col min="1" max="1" width="4.42578125" customWidth="1"/>
    <col min="2" max="2" width="56" style="3" customWidth="1"/>
    <col min="3" max="3" width="7.42578125" style="1" customWidth="1"/>
    <col min="4" max="4" width="16.85546875" style="1" customWidth="1"/>
    <col min="5" max="5" width="14.140625" style="1" customWidth="1"/>
    <col min="6" max="6" width="16.42578125" style="1" customWidth="1"/>
    <col min="7" max="7" width="7.7109375" style="1" customWidth="1"/>
    <col min="8" max="8" width="17.42578125" style="1" customWidth="1"/>
    <col min="9" max="9" width="8.28515625" customWidth="1"/>
  </cols>
  <sheetData>
    <row r="1" spans="2:8" ht="23.25" customHeight="1" x14ac:dyDescent="0.25">
      <c r="B1" s="3" t="s">
        <v>556</v>
      </c>
    </row>
    <row r="2" spans="2:8" x14ac:dyDescent="0.25">
      <c r="B2" s="53" t="s">
        <v>198</v>
      </c>
    </row>
    <row r="4" spans="2:8" ht="39.950000000000003" customHeight="1" x14ac:dyDescent="0.25">
      <c r="B4" s="37" t="s">
        <v>174</v>
      </c>
      <c r="C4" s="14"/>
      <c r="D4" s="38" t="s">
        <v>552</v>
      </c>
      <c r="E4" s="38"/>
      <c r="F4" s="38" t="s">
        <v>553</v>
      </c>
      <c r="G4" s="14"/>
      <c r="H4" s="38" t="s">
        <v>175</v>
      </c>
    </row>
    <row r="5" spans="2:8" ht="39.950000000000003" customHeight="1" x14ac:dyDescent="0.25">
      <c r="B5" s="24" t="s">
        <v>176</v>
      </c>
      <c r="C5" s="5" t="s">
        <v>189</v>
      </c>
      <c r="D5" s="51">
        <v>81542.246183999989</v>
      </c>
      <c r="E5" s="5" t="s">
        <v>554</v>
      </c>
      <c r="F5" s="51">
        <v>138376.23109000002</v>
      </c>
      <c r="G5" s="213" t="s">
        <v>190</v>
      </c>
      <c r="H5" s="51">
        <v>35822.493968199997</v>
      </c>
    </row>
    <row r="6" spans="2:8" ht="39.950000000000003" customHeight="1" x14ac:dyDescent="0.25">
      <c r="B6" s="24" t="s">
        <v>177</v>
      </c>
      <c r="C6" s="5" t="s">
        <v>191</v>
      </c>
      <c r="D6" s="51">
        <v>18528.317028839996</v>
      </c>
      <c r="E6" s="5" t="s">
        <v>555</v>
      </c>
      <c r="F6" s="51">
        <v>26736.645117008004</v>
      </c>
      <c r="G6" s="214"/>
      <c r="H6" s="215" t="s">
        <v>178</v>
      </c>
    </row>
    <row r="7" spans="2:8" ht="39.950000000000003" customHeight="1" x14ac:dyDescent="0.25">
      <c r="B7" s="24" t="s">
        <v>179</v>
      </c>
      <c r="C7" s="50"/>
      <c r="D7" s="216"/>
      <c r="E7" s="216"/>
      <c r="F7" s="215" t="s">
        <v>180</v>
      </c>
      <c r="G7" s="213" t="s">
        <v>192</v>
      </c>
      <c r="H7" s="51">
        <v>38972.709142114996</v>
      </c>
    </row>
    <row r="8" spans="2:8" ht="39.950000000000003" customHeight="1" x14ac:dyDescent="0.25">
      <c r="B8" s="24" t="s">
        <v>181</v>
      </c>
      <c r="C8" s="50"/>
      <c r="D8" s="50"/>
      <c r="E8" s="50"/>
      <c r="F8" s="36" t="s">
        <v>178</v>
      </c>
      <c r="G8" s="5" t="s">
        <v>193</v>
      </c>
      <c r="H8" s="51">
        <v>30743.852389589996</v>
      </c>
    </row>
    <row r="9" spans="2:8" ht="39.950000000000003" customHeight="1" x14ac:dyDescent="0.25">
      <c r="B9" s="37" t="s">
        <v>182</v>
      </c>
      <c r="C9" s="50"/>
      <c r="D9" s="52">
        <f t="shared" ref="D9" si="0">SUM(D5:D8)</f>
        <v>100070.56321283999</v>
      </c>
      <c r="E9" s="52"/>
      <c r="F9" s="52">
        <f>SUM(F5:F8)</f>
        <v>165112.87620700803</v>
      </c>
      <c r="G9" s="50"/>
      <c r="H9" s="52">
        <f>SUM(H5:H8)</f>
        <v>105539.05549990499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34</vt:i4>
      </vt:variant>
    </vt:vector>
  </HeadingPairs>
  <TitlesOfParts>
    <vt:vector size="45" baseType="lpstr">
      <vt:lpstr>Tabla 3</vt:lpstr>
      <vt:lpstr>Tabla 3 REMBIO</vt:lpstr>
      <vt:lpstr>Tabla 4</vt:lpstr>
      <vt:lpstr>Tabla 4 REMBIO</vt:lpstr>
      <vt:lpstr>Tabla 5</vt:lpstr>
      <vt:lpstr>Tabla 5 (BD-FS-IINGEN)</vt:lpstr>
      <vt:lpstr>Tabla 6</vt:lpstr>
      <vt:lpstr>Tabla 7</vt:lpstr>
      <vt:lpstr>Tabla 8 Resumen</vt:lpstr>
      <vt:lpstr>PCS y PCI</vt:lpstr>
      <vt:lpstr>Referencias</vt:lpstr>
      <vt:lpstr>'Tabla 3'!_ftn1</vt:lpstr>
      <vt:lpstr>'Tabla 4'!_ftn10</vt:lpstr>
      <vt:lpstr>'Tabla 4'!_ftn11</vt:lpstr>
      <vt:lpstr>'Tabla 4'!_ftn12</vt:lpstr>
      <vt:lpstr>'Tabla 4'!_ftn13</vt:lpstr>
      <vt:lpstr>'Tabla 3'!_ftn2</vt:lpstr>
      <vt:lpstr>'Tabla 3'!_ftn3</vt:lpstr>
      <vt:lpstr>'Tabla 3'!_ftn4</vt:lpstr>
      <vt:lpstr>'Tabla 3'!_ftn5</vt:lpstr>
      <vt:lpstr>'Tabla 4'!_ftn6</vt:lpstr>
      <vt:lpstr>'Tabla 4'!_ftn7</vt:lpstr>
      <vt:lpstr>'Tabla 4'!_ftn8</vt:lpstr>
      <vt:lpstr>'Tabla 4'!_ftn9</vt:lpstr>
      <vt:lpstr>'Tabla 3'!_ftnref1</vt:lpstr>
      <vt:lpstr>'Tabla 4'!_ftnref10</vt:lpstr>
      <vt:lpstr>'Tabla 4'!_ftnref11</vt:lpstr>
      <vt:lpstr>'Tabla 4'!_ftnref12</vt:lpstr>
      <vt:lpstr>'Tabla 4'!_ftnref13</vt:lpstr>
      <vt:lpstr>'Tabla 3'!_ftnref2</vt:lpstr>
      <vt:lpstr>'Tabla 3'!_ftnref3</vt:lpstr>
      <vt:lpstr>'Tabla 3'!_ftnref4</vt:lpstr>
      <vt:lpstr>'Tabla 3'!_ftnref5</vt:lpstr>
      <vt:lpstr>'Tabla 4'!_ftnref6</vt:lpstr>
      <vt:lpstr>'Tabla 4'!_ftnref7</vt:lpstr>
      <vt:lpstr>'Tabla 4'!_ftnref8</vt:lpstr>
      <vt:lpstr>'Tabla 4'!_ftnref9</vt:lpstr>
      <vt:lpstr>'Tabla 6'!_Ref531278216</vt:lpstr>
      <vt:lpstr>'Tabla 8 Resumen'!_Ref531280360</vt:lpstr>
      <vt:lpstr>'Tabla 3'!_Ref531451548</vt:lpstr>
      <vt:lpstr>'Tabla 4'!_Ref531451606</vt:lpstr>
      <vt:lpstr>'Tabla 5'!_Ref531534467</vt:lpstr>
      <vt:lpstr>'Tabla 7'!_Ref531534571</vt:lpstr>
      <vt:lpstr>'Tabla 5'!Área_de_impresión</vt:lpstr>
      <vt:lpstr>'Tabla 5 (BD-FS-IINGEN)'!Área_de_impresión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Ulises Ruiz Saucedo</dc:creator>
  <cp:lastModifiedBy>Roberto Ulises Ruiz Saucedo</cp:lastModifiedBy>
  <cp:lastPrinted>2019-11-06T15:57:40Z</cp:lastPrinted>
  <dcterms:created xsi:type="dcterms:W3CDTF">2019-02-07T15:24:01Z</dcterms:created>
  <dcterms:modified xsi:type="dcterms:W3CDTF">2019-11-06T22:52:44Z</dcterms:modified>
</cp:coreProperties>
</file>