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I:\03-PROY ALM ENE\04-INFORMES ESP\02\Tablas V11 ESPAÑOL\"/>
    </mc:Choice>
  </mc:AlternateContent>
  <xr:revisionPtr revIDLastSave="0" documentId="13_ncr:1_{1865BD2A-071E-4C9F-B6CF-7F39773789E0}" xr6:coauthVersionLast="45" xr6:coauthVersionMax="45" xr10:uidLastSave="{00000000-0000-0000-0000-000000000000}"/>
  <bookViews>
    <workbookView xWindow="-120" yWindow="-120" windowWidth="29040" windowHeight="15840" xr2:uid="{00000000-000D-0000-FFFF-FFFF00000000}"/>
  </bookViews>
  <sheets>
    <sheet name="Flywheels" sheetId="4" r:id="rId1"/>
    <sheet name="Data" sheetId="1" r:id="rId2"/>
    <sheet name="Uncertanties" sheetId="15" r:id="rId3"/>
    <sheet name="USE_L" sheetId="16" r:id="rId4"/>
    <sheet name="05_RTE" sheetId="5" r:id="rId5"/>
    <sheet name="08_ELS" sheetId="13" r:id="rId6"/>
    <sheet name="11_TL" sheetId="7" r:id="rId7"/>
    <sheet name="16_EC" sheetId="10" r:id="rId8"/>
    <sheet name="17_CC" sheetId="11" r:id="rId9"/>
    <sheet name="23_LTN" sheetId="8" r:id="rId10"/>
  </sheets>
  <externalReferences>
    <externalReference r:id="rId11"/>
    <externalReference r:id="rId12"/>
    <externalReference r:id="rId13"/>
  </externalReferences>
  <definedNames>
    <definedName name="BTV11_15">'[1]arbejds ark LARGE New'!$K$33</definedName>
    <definedName name="BVT17_15">'[1]arbejds ark LARGE New'!$S$67</definedName>
    <definedName name="EUR16tilEUR15">'[1]22 Photovoltaics  LARGE Old'!$N$2</definedName>
    <definedName name="Index">#REF!</definedName>
    <definedName name="Sheet">#REF!</definedName>
    <definedName name="Start10" localSheetId="0">'[2]Li-Ion Battery'!#REF!</definedName>
    <definedName name="Start10">'[3]03 Lithium Ion Battery'!#REF!</definedName>
    <definedName name="Start11" localSheetId="0">#REF!</definedName>
    <definedName name="Start12" localSheetId="0">'[2]Molten Salt'!#REF!</definedName>
    <definedName name="Start13" localSheetId="0">#REF!</definedName>
    <definedName name="Start13">#REF!</definedName>
    <definedName name="Start14">#REF!</definedName>
    <definedName name="Start15">#REF!</definedName>
    <definedName name="Start16">#REF!</definedName>
    <definedName name="Start17">#REF!</definedName>
    <definedName name="Start18">#REF!</definedName>
    <definedName name="Start19">#REF!</definedName>
    <definedName name="Start2">#REF!</definedName>
    <definedName name="Start20">#REF!</definedName>
    <definedName name="Start21">#REF!</definedName>
    <definedName name="Start22">#REF!</definedName>
    <definedName name="Start23">#REF!</definedName>
    <definedName name="Start24">#REF!</definedName>
    <definedName name="Start25">#REF!</definedName>
    <definedName name="Start26">#REF!</definedName>
    <definedName name="Start27">#REF!</definedName>
    <definedName name="Start28">#REF!</definedName>
    <definedName name="Start29">#REF!</definedName>
    <definedName name="Start3">#REF!</definedName>
    <definedName name="Start30">#REF!</definedName>
    <definedName name="Start31">#REF!</definedName>
    <definedName name="Start32">#REF!</definedName>
    <definedName name="Start33">#REF!</definedName>
    <definedName name="Start34">#REF!</definedName>
    <definedName name="Start35">#REF!</definedName>
    <definedName name="Start36">#REF!</definedName>
    <definedName name="Start37">#REF!</definedName>
    <definedName name="Start38">#REF!</definedName>
    <definedName name="Start39">#REF!</definedName>
    <definedName name="Start4">#REF!</definedName>
    <definedName name="Start40">#REF!</definedName>
    <definedName name="Start41">#REF!</definedName>
    <definedName name="Start42">#REF!</definedName>
    <definedName name="Start43">#REF!</definedName>
    <definedName name="Start44">#REF!</definedName>
    <definedName name="Start45">#REF!</definedName>
    <definedName name="Start46">#REF!</definedName>
    <definedName name="Start47">#REF!</definedName>
    <definedName name="Start5">#REF!</definedName>
    <definedName name="Start6">#REF!</definedName>
    <definedName name="Start7" localSheetId="0">#REF!</definedName>
    <definedName name="Start7">#REF!</definedName>
    <definedName name="Start8" localSheetId="0">[2]CAES!#REF!</definedName>
    <definedName name="Start9" localSheetId="0">Flywheels!#REF!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1" l="1"/>
  <c r="H6" i="1" l="1"/>
  <c r="H7" i="1" s="1"/>
  <c r="G6" i="1"/>
  <c r="G7" i="1" s="1"/>
  <c r="F6" i="1"/>
  <c r="F7" i="1" s="1"/>
  <c r="E6" i="1"/>
  <c r="E7" i="1" s="1"/>
  <c r="E11" i="4"/>
  <c r="E12" i="4" s="1"/>
  <c r="D11" i="4"/>
  <c r="D12" i="4" s="1"/>
  <c r="J25" i="4" l="1"/>
  <c r="I25" i="4"/>
  <c r="H25" i="4"/>
  <c r="G25" i="4"/>
  <c r="R4" i="15" l="1"/>
  <c r="Q4" i="15"/>
  <c r="N4" i="15"/>
  <c r="H31" i="4" s="1"/>
  <c r="M4" i="15"/>
  <c r="G31" i="4" s="1"/>
  <c r="P3" i="15"/>
  <c r="J32" i="4" s="1"/>
  <c r="O3" i="15"/>
  <c r="I32" i="4" s="1"/>
  <c r="R3" i="15"/>
  <c r="V3" i="15" s="1"/>
  <c r="Q3" i="15"/>
  <c r="U3" i="15" s="1"/>
  <c r="N3" i="15"/>
  <c r="H32" i="4" s="1"/>
  <c r="M3" i="15"/>
  <c r="G32" i="4" s="1"/>
  <c r="O4" i="15" l="1"/>
  <c r="I31" i="4" s="1"/>
  <c r="V2" i="15"/>
  <c r="P4" i="15"/>
  <c r="J31" i="4" s="1"/>
  <c r="G30" i="4"/>
  <c r="I30" i="4"/>
  <c r="J30" i="4"/>
  <c r="U2" i="15"/>
  <c r="G33" i="4"/>
  <c r="I33" i="4" s="1"/>
  <c r="H30" i="4"/>
  <c r="H33" i="4"/>
  <c r="J33" i="4" s="1"/>
  <c r="I20" i="1"/>
  <c r="J26" i="4" l="1"/>
  <c r="I26" i="4"/>
  <c r="J11" i="4" l="1"/>
  <c r="J12" i="4" s="1"/>
  <c r="I11" i="4"/>
  <c r="I12" i="4" s="1"/>
  <c r="H11" i="4"/>
  <c r="H12" i="4" s="1"/>
  <c r="G11" i="4"/>
  <c r="G12" i="4" s="1"/>
  <c r="I8" i="1" l="1"/>
  <c r="F19" i="4" l="1"/>
  <c r="F17" i="4"/>
  <c r="E19" i="4"/>
  <c r="E17" i="4"/>
  <c r="F9" i="4"/>
  <c r="F8" i="4"/>
  <c r="F7" i="4"/>
  <c r="I17" i="1" l="1"/>
  <c r="F24" i="4" s="1"/>
  <c r="I16" i="1"/>
  <c r="F23" i="4" s="1"/>
  <c r="I15" i="1"/>
  <c r="F22" i="4" l="1"/>
  <c r="F28" i="4"/>
  <c r="I11" i="1"/>
  <c r="F16" i="4" s="1"/>
  <c r="F13" i="4"/>
  <c r="I5" i="1"/>
  <c r="F10" i="4" l="1"/>
  <c r="F11" i="4" s="1"/>
  <c r="F12" i="4" s="1"/>
  <c r="I6" i="1"/>
  <c r="I7" i="1" s="1"/>
  <c r="J9" i="4"/>
  <c r="I9" i="4"/>
  <c r="H9" i="4"/>
  <c r="G9" i="4"/>
  <c r="E9" i="4"/>
  <c r="D9" i="4"/>
  <c r="J24" i="4" l="1"/>
  <c r="I24" i="4"/>
  <c r="H24" i="4"/>
  <c r="G24" i="4"/>
  <c r="E24" i="4"/>
  <c r="D24" i="4"/>
  <c r="J23" i="4"/>
  <c r="I23" i="4"/>
  <c r="H23" i="4"/>
  <c r="G23" i="4"/>
  <c r="E23" i="4"/>
  <c r="D23" i="4"/>
  <c r="J8" i="4"/>
  <c r="I8" i="4"/>
  <c r="H8" i="4"/>
  <c r="G8" i="4"/>
  <c r="H7" i="4"/>
  <c r="G7" i="4"/>
  <c r="J7" i="4"/>
  <c r="I7" i="4"/>
  <c r="E8" i="4"/>
  <c r="E7" i="4"/>
  <c r="D8" i="4"/>
  <c r="D7" i="4"/>
  <c r="H28" i="4" l="1"/>
  <c r="I28" i="4"/>
  <c r="J28" i="4"/>
  <c r="D28" i="4"/>
  <c r="F20" i="1" s="1"/>
  <c r="E28" i="4"/>
  <c r="H20" i="1" s="1"/>
  <c r="G22" i="4"/>
  <c r="G28" i="4"/>
  <c r="H22" i="4"/>
  <c r="I22" i="4"/>
  <c r="J22" i="4"/>
  <c r="D22" i="4"/>
  <c r="E22" i="4"/>
</calcChain>
</file>

<file path=xl/sharedStrings.xml><?xml version="1.0" encoding="utf-8"?>
<sst xmlns="http://schemas.openxmlformats.org/spreadsheetml/2006/main" count="328" uniqueCount="229">
  <si>
    <t>Technology</t>
  </si>
  <si>
    <t>Ref</t>
  </si>
  <si>
    <t>Energy/technical data</t>
  </si>
  <si>
    <t>Form of energy stored</t>
  </si>
  <si>
    <t>Application</t>
  </si>
  <si>
    <t>Energy storage capacity for one unit (MWh)</t>
  </si>
  <si>
    <t>[2]</t>
  </si>
  <si>
    <t>Output capacity for one unit (MW)*</t>
  </si>
  <si>
    <t>Input capacity for one unit (MW)*</t>
  </si>
  <si>
    <t>Round trip efficiency (%)</t>
  </si>
  <si>
    <t>[1]</t>
  </si>
  <si>
    <t xml:space="preserve"> - Discharge efficiency (%)</t>
  </si>
  <si>
    <t>Energy losses during storage (%/day)</t>
  </si>
  <si>
    <t>Forced outage (%)</t>
  </si>
  <si>
    <t>Planned outage (weeks per year)</t>
  </si>
  <si>
    <t>Technical lifetime (years)</t>
  </si>
  <si>
    <t>Construction time (years)</t>
  </si>
  <si>
    <t>Regulation ability</t>
  </si>
  <si>
    <t>Response time from idle to full-rated discharge (sec)</t>
  </si>
  <si>
    <t>Response time from full-rated charge to full-rated  discharge (sec)</t>
  </si>
  <si>
    <t>Financial data</t>
  </si>
  <si>
    <t xml:space="preserve">Technology specific data                                 </t>
  </si>
  <si>
    <t>Specific energy (Wh/kg)</t>
  </si>
  <si>
    <t>Lifetime in total number of cycles</t>
  </si>
  <si>
    <t>Specific power(W/kg)</t>
  </si>
  <si>
    <t>[3]</t>
  </si>
  <si>
    <t>[4]</t>
  </si>
  <si>
    <t>Luo, X., Wang, J., Dooner, M., &amp; Clarke, J. (2015). Overview of current development in electrical energy storage technologies and the application potential in power system operation. Applied Energy, 137, 511–536. https://doi.org/https://doi.org/10.1016/j.apenergy.2014.09.081</t>
  </si>
  <si>
    <t>IRENA. (2017). Electricity Storage and Renewables: Cost and Markets to 2030. Retrieved from https://www.irena.org/publications/2017/Oct/Electricity-storage-and-renewables-costs-and-markets</t>
  </si>
  <si>
    <t>IRENA (2017). Electricity storage and renewables: Costs and markets to 2030. Cost of service tool. Available in: https://www.irena.org/publications/2017/Oct/Electricity-storage-and-renewables-costs-and-markets</t>
  </si>
  <si>
    <t>Specific investment (MUSD2020/MW)</t>
  </si>
  <si>
    <t>A</t>
  </si>
  <si>
    <t>Schmidt, O., Melchior, S., Hawkes, A., &amp; Staffell, I. (2019). Projecting the Future Levelized Cost of Electricity Storage Technologies. Joule, 3(1), 81–100. https://doi.org/10.1016/j.joule.2018.12.008</t>
  </si>
  <si>
    <t>[5]</t>
  </si>
  <si>
    <t>Danish Energy Agency. (2019). Technology Data for Energy Storage. Copenhagen, Denmark. Retrieved from https://ens.dk/sites/ens.dk/files/Analyser/technology_data_catalogue_for_energy_storage.pdf</t>
  </si>
  <si>
    <t>B</t>
  </si>
  <si>
    <t>A, C</t>
  </si>
  <si>
    <t>C</t>
  </si>
  <si>
    <t>A, D</t>
  </si>
  <si>
    <t>D</t>
  </si>
  <si>
    <t>A, E</t>
  </si>
  <si>
    <t>E</t>
  </si>
  <si>
    <t>F</t>
  </si>
  <si>
    <t>Technical Data</t>
  </si>
  <si>
    <t>Lifetime in Total Number of Cycle</t>
  </si>
  <si>
    <t>Specific investment (MUSD2020 per MWh)</t>
  </si>
  <si>
    <t xml:space="preserve"> capacity component (MUSD2020 per MW)</t>
  </si>
  <si>
    <t>[6]</t>
  </si>
  <si>
    <t>Variable O&amp;M (USD2020/MWh/year)</t>
  </si>
  <si>
    <t>Power density (kW/m3)</t>
  </si>
  <si>
    <t>Specific density (kWh/m3)</t>
  </si>
  <si>
    <t>Fixed O&amp;M (kUSD2020/MW/year)</t>
  </si>
  <si>
    <t>[3],[2]</t>
  </si>
  <si>
    <t>ABB</t>
  </si>
  <si>
    <t>ESC</t>
  </si>
  <si>
    <t>OCO</t>
  </si>
  <si>
    <t>ICO</t>
  </si>
  <si>
    <t>RTE</t>
  </si>
  <si>
    <t>CE</t>
  </si>
  <si>
    <t>DE</t>
  </si>
  <si>
    <t>ELS</t>
  </si>
  <si>
    <t>FO</t>
  </si>
  <si>
    <t>PO</t>
  </si>
  <si>
    <t>TL</t>
  </si>
  <si>
    <t>CT</t>
  </si>
  <si>
    <t>RTI</t>
  </si>
  <si>
    <t>RTF</t>
  </si>
  <si>
    <t>SI</t>
  </si>
  <si>
    <t>EC</t>
  </si>
  <si>
    <t>CC</t>
  </si>
  <si>
    <t>FOM</t>
  </si>
  <si>
    <t>VOM</t>
  </si>
  <si>
    <t>SE</t>
  </si>
  <si>
    <t>LTN</t>
  </si>
  <si>
    <r>
      <t xml:space="preserve"> - </t>
    </r>
    <r>
      <rPr>
        <i/>
        <sz val="8"/>
        <color theme="1"/>
        <rFont val="Montserrat Medium"/>
        <family val="3"/>
      </rPr>
      <t>Charge efficiency (%)</t>
    </r>
  </si>
  <si>
    <r>
      <t xml:space="preserve">Zakeri, B., &amp; Syri, S. (2015). Electrical energy storage systems: A comparative life cycle cost analysis. </t>
    </r>
    <r>
      <rPr>
        <i/>
        <sz val="12"/>
        <color theme="1"/>
        <rFont val="Montserrat Medium"/>
        <family val="3"/>
      </rPr>
      <t>Renewable and Sustainable Energy Reviews</t>
    </r>
    <r>
      <rPr>
        <sz val="12"/>
        <color theme="1"/>
        <rFont val="Montserrat Medium"/>
        <family val="3"/>
      </rPr>
      <t xml:space="preserve">, </t>
    </r>
    <r>
      <rPr>
        <i/>
        <sz val="12"/>
        <color theme="1"/>
        <rFont val="Montserrat Medium"/>
        <family val="3"/>
      </rPr>
      <t>42</t>
    </r>
    <r>
      <rPr>
        <sz val="12"/>
        <color theme="1"/>
        <rFont val="Montserrat Medium"/>
        <family val="3"/>
      </rPr>
      <t>, 569–596. https://doi.org/10.1016/j.rser.2014.10.011</t>
    </r>
  </si>
  <si>
    <r>
      <t xml:space="preserve">Energy Storage Capacity for One Unit </t>
    </r>
    <r>
      <rPr>
        <sz val="8"/>
        <color theme="1"/>
        <rFont val="Montserrat Medium"/>
        <family val="3"/>
      </rPr>
      <t>(MWh)</t>
    </r>
  </si>
  <si>
    <r>
      <t xml:space="preserve">Output Capacity for One Unit </t>
    </r>
    <r>
      <rPr>
        <sz val="8"/>
        <color theme="1"/>
        <rFont val="Montserrat Medium"/>
        <family val="3"/>
      </rPr>
      <t>(MW)</t>
    </r>
  </si>
  <si>
    <r>
      <t>Input Capacity for One Unit</t>
    </r>
    <r>
      <rPr>
        <sz val="8"/>
        <color theme="1"/>
        <rFont val="Montserrat Medium"/>
        <family val="3"/>
      </rPr>
      <t xml:space="preserve"> (MW)</t>
    </r>
  </si>
  <si>
    <r>
      <t xml:space="preserve">Round Trip Efficiency </t>
    </r>
    <r>
      <rPr>
        <sz val="8"/>
        <color theme="1"/>
        <rFont val="Montserrat Medium"/>
        <family val="3"/>
      </rPr>
      <t>(%)</t>
    </r>
  </si>
  <si>
    <r>
      <t xml:space="preserve">Charge Efficiency </t>
    </r>
    <r>
      <rPr>
        <sz val="8"/>
        <color theme="1"/>
        <rFont val="Montserrat Medium"/>
        <family val="3"/>
      </rPr>
      <t>(%)</t>
    </r>
  </si>
  <si>
    <r>
      <t xml:space="preserve">Discharge Efficiency </t>
    </r>
    <r>
      <rPr>
        <sz val="8"/>
        <color theme="1"/>
        <rFont val="Montserrat Medium"/>
        <family val="3"/>
      </rPr>
      <t>(%)</t>
    </r>
  </si>
  <si>
    <r>
      <t xml:space="preserve">Energy Losses during Storage </t>
    </r>
    <r>
      <rPr>
        <sz val="8"/>
        <color theme="1"/>
        <rFont val="Montserrat Medium"/>
        <family val="3"/>
      </rPr>
      <t>(%/day)</t>
    </r>
  </si>
  <si>
    <r>
      <t xml:space="preserve">Forced Outage </t>
    </r>
    <r>
      <rPr>
        <sz val="8"/>
        <color theme="1"/>
        <rFont val="Montserrat Medium"/>
        <family val="3"/>
      </rPr>
      <t>(%)</t>
    </r>
  </si>
  <si>
    <r>
      <t xml:space="preserve">Planned Outage </t>
    </r>
    <r>
      <rPr>
        <sz val="8"/>
        <color theme="1"/>
        <rFont val="Montserrat Medium"/>
        <family val="3"/>
      </rPr>
      <t>(weeks per year)</t>
    </r>
  </si>
  <si>
    <r>
      <t xml:space="preserve">Technical Lifetime </t>
    </r>
    <r>
      <rPr>
        <sz val="8"/>
        <color theme="1"/>
        <rFont val="Montserrat Medium"/>
        <family val="3"/>
      </rPr>
      <t>(years)</t>
    </r>
  </si>
  <si>
    <r>
      <t xml:space="preserve">Construction Time </t>
    </r>
    <r>
      <rPr>
        <sz val="8"/>
        <color theme="1"/>
        <rFont val="Montserrat Medium"/>
        <family val="3"/>
      </rPr>
      <t>(years)</t>
    </r>
  </si>
  <si>
    <r>
      <t xml:space="preserve">Response Time from Idle to Full-Rated Discharge </t>
    </r>
    <r>
      <rPr>
        <sz val="8"/>
        <color theme="1"/>
        <rFont val="Montserrat Medium"/>
        <family val="3"/>
      </rPr>
      <t>(sec)</t>
    </r>
  </si>
  <si>
    <r>
      <t xml:space="preserve">Response Time from Full-Rated Charge to Full-Rated Discharge </t>
    </r>
    <r>
      <rPr>
        <sz val="8"/>
        <color theme="1"/>
        <rFont val="Montserrat Medium"/>
        <family val="3"/>
      </rPr>
      <t>(sec)</t>
    </r>
  </si>
  <si>
    <r>
      <t xml:space="preserve">Specific Investment </t>
    </r>
    <r>
      <rPr>
        <sz val="8"/>
        <color theme="1"/>
        <rFont val="Montserrat Medium"/>
        <family val="3"/>
      </rPr>
      <t>(MUSD2020 per MWh)</t>
    </r>
  </si>
  <si>
    <r>
      <t xml:space="preserve">Energy Component </t>
    </r>
    <r>
      <rPr>
        <sz val="8"/>
        <color theme="1"/>
        <rFont val="Montserrat Medium"/>
        <family val="3"/>
      </rPr>
      <t>(MUSD2020 per MWh)</t>
    </r>
  </si>
  <si>
    <r>
      <t xml:space="preserve">Capacity Component </t>
    </r>
    <r>
      <rPr>
        <sz val="8"/>
        <color theme="1"/>
        <rFont val="Montserrat Medium"/>
        <family val="3"/>
      </rPr>
      <t>(MUSD per MW)</t>
    </r>
  </si>
  <si>
    <r>
      <t xml:space="preserve">Fixed O&amp;M </t>
    </r>
    <r>
      <rPr>
        <sz val="8"/>
        <color theme="1"/>
        <rFont val="Montserrat Medium"/>
        <family val="3"/>
      </rPr>
      <t>(MUSD2020/MW/year)</t>
    </r>
  </si>
  <si>
    <r>
      <t xml:space="preserve">Variable O&amp;M </t>
    </r>
    <r>
      <rPr>
        <sz val="8"/>
        <color theme="1"/>
        <rFont val="Montserrat Medium"/>
        <family val="3"/>
      </rPr>
      <t>(MUSD2020/MW/year)</t>
    </r>
  </si>
  <si>
    <r>
      <t xml:space="preserve">Specific Investment </t>
    </r>
    <r>
      <rPr>
        <sz val="10"/>
        <color theme="1"/>
        <rFont val="Montserrat Medium"/>
        <family val="3"/>
      </rPr>
      <t>(MUSD2020 per MW)</t>
    </r>
  </si>
  <si>
    <r>
      <t>Specific Energy</t>
    </r>
    <r>
      <rPr>
        <sz val="10"/>
        <color theme="1"/>
        <rFont val="Montserrat Medium"/>
        <family val="3"/>
      </rPr>
      <t xml:space="preserve"> (Wh/kg)</t>
    </r>
  </si>
  <si>
    <r>
      <t>Specific Energy</t>
    </r>
    <r>
      <rPr>
        <sz val="10"/>
        <color theme="1"/>
        <rFont val="Montserrat Medium"/>
        <family val="3"/>
      </rPr>
      <t xml:space="preserve"> (Wh/l)</t>
    </r>
  </si>
  <si>
    <r>
      <t xml:space="preserve">Zakeri, B., &amp; Syri, S. (2015). Electrical energy storage systems: A comparative life cycle cost analysis. </t>
    </r>
    <r>
      <rPr>
        <i/>
        <sz val="10"/>
        <color theme="1"/>
        <rFont val="Montserrat Medium"/>
        <family val="3"/>
      </rPr>
      <t>Renewable and Sustainable Energy Reviews</t>
    </r>
    <r>
      <rPr>
        <sz val="10"/>
        <color theme="1"/>
        <rFont val="Montserrat Medium"/>
        <family val="3"/>
      </rPr>
      <t xml:space="preserve">, </t>
    </r>
    <r>
      <rPr>
        <i/>
        <sz val="10"/>
        <color theme="1"/>
        <rFont val="Montserrat Medium"/>
        <family val="3"/>
      </rPr>
      <t>42</t>
    </r>
    <r>
      <rPr>
        <sz val="10"/>
        <color theme="1"/>
        <rFont val="Montserrat Medium"/>
        <family val="3"/>
      </rPr>
      <t>, 569–596. https://doi.org/10.1016/j.rser.2014.10.011</t>
    </r>
  </si>
  <si>
    <t xml:space="preserve"> - Charge efficiency (%)</t>
  </si>
  <si>
    <r>
      <t xml:space="preserve">Specific energy </t>
    </r>
    <r>
      <rPr>
        <sz val="8"/>
        <color theme="1"/>
        <rFont val="Montserrat Medium"/>
        <family val="3"/>
      </rPr>
      <t>(Wh/kg)</t>
    </r>
  </si>
  <si>
    <r>
      <t xml:space="preserve">Specific density </t>
    </r>
    <r>
      <rPr>
        <sz val="8"/>
        <color theme="1"/>
        <rFont val="Montserrat Medium"/>
        <family val="3"/>
      </rPr>
      <t>(kWh/m3)</t>
    </r>
  </si>
  <si>
    <r>
      <t xml:space="preserve">Energy storage capacity for one unit </t>
    </r>
    <r>
      <rPr>
        <sz val="8"/>
        <color theme="1"/>
        <rFont val="Montserrat Medium"/>
        <family val="3"/>
      </rPr>
      <t>(MWh)</t>
    </r>
  </si>
  <si>
    <r>
      <t xml:space="preserve">Output capacity for one unit </t>
    </r>
    <r>
      <rPr>
        <sz val="8"/>
        <color theme="1"/>
        <rFont val="Montserrat Medium"/>
        <family val="3"/>
      </rPr>
      <t>(MW)</t>
    </r>
  </si>
  <si>
    <r>
      <t xml:space="preserve">Input capacity for one unit </t>
    </r>
    <r>
      <rPr>
        <sz val="8"/>
        <color theme="1"/>
        <rFont val="Montserrat Medium"/>
        <family val="3"/>
      </rPr>
      <t>(MW)</t>
    </r>
  </si>
  <si>
    <r>
      <t xml:space="preserve">Round trip efficiency </t>
    </r>
    <r>
      <rPr>
        <sz val="8"/>
        <color theme="1"/>
        <rFont val="Montserrat Medium"/>
        <family val="3"/>
      </rPr>
      <t>(%)</t>
    </r>
  </si>
  <si>
    <r>
      <t xml:space="preserve"> - Discharge efficiency </t>
    </r>
    <r>
      <rPr>
        <sz val="8"/>
        <color theme="1"/>
        <rFont val="Montserrat Medium"/>
        <family val="3"/>
      </rPr>
      <t>(%)</t>
    </r>
  </si>
  <si>
    <r>
      <t xml:space="preserve">Energy losses during storage </t>
    </r>
    <r>
      <rPr>
        <sz val="8"/>
        <color theme="1"/>
        <rFont val="Montserrat Medium"/>
        <family val="3"/>
      </rPr>
      <t>(%/day)</t>
    </r>
  </si>
  <si>
    <r>
      <t xml:space="preserve">Forced outage </t>
    </r>
    <r>
      <rPr>
        <sz val="8"/>
        <color theme="1"/>
        <rFont val="Montserrat Medium"/>
        <family val="3"/>
      </rPr>
      <t>(%)</t>
    </r>
  </si>
  <si>
    <r>
      <t xml:space="preserve">Planned outage </t>
    </r>
    <r>
      <rPr>
        <sz val="8"/>
        <color theme="1"/>
        <rFont val="Montserrat Medium"/>
        <family val="3"/>
      </rPr>
      <t>(weeks per year)</t>
    </r>
  </si>
  <si>
    <r>
      <t xml:space="preserve">Technical lifetime </t>
    </r>
    <r>
      <rPr>
        <sz val="8"/>
        <color theme="1"/>
        <rFont val="Montserrat Medium"/>
        <family val="3"/>
      </rPr>
      <t>(years)</t>
    </r>
  </si>
  <si>
    <r>
      <t xml:space="preserve">Construction time </t>
    </r>
    <r>
      <rPr>
        <sz val="8"/>
        <color theme="1"/>
        <rFont val="Montserrat Medium"/>
        <family val="3"/>
      </rPr>
      <t>(years)</t>
    </r>
  </si>
  <si>
    <r>
      <t xml:space="preserve">Response time from idle to full-rated discharge </t>
    </r>
    <r>
      <rPr>
        <sz val="8"/>
        <color theme="1"/>
        <rFont val="Montserrat Medium"/>
        <family val="3"/>
      </rPr>
      <t>(sec)</t>
    </r>
  </si>
  <si>
    <r>
      <t xml:space="preserve">Response time from full-rated charge to full-rated  discharge </t>
    </r>
    <r>
      <rPr>
        <sz val="8"/>
        <color theme="1"/>
        <rFont val="Montserrat Medium"/>
        <family val="3"/>
      </rPr>
      <t>(sec)</t>
    </r>
  </si>
  <si>
    <r>
      <t xml:space="preserve">Specific investment </t>
    </r>
    <r>
      <rPr>
        <sz val="8"/>
        <color theme="1"/>
        <rFont val="Montserrat Medium"/>
        <family val="3"/>
      </rPr>
      <t>(MUSD2020 per MWh)</t>
    </r>
  </si>
  <si>
    <r>
      <t xml:space="preserve">  -Energy component </t>
    </r>
    <r>
      <rPr>
        <sz val="8"/>
        <color theme="1"/>
        <rFont val="Montserrat Medium"/>
        <family val="3"/>
      </rPr>
      <t>(MUSD2020/MWh)</t>
    </r>
  </si>
  <si>
    <r>
      <t xml:space="preserve">  -Capacity component </t>
    </r>
    <r>
      <rPr>
        <sz val="8"/>
        <color theme="1"/>
        <rFont val="Montserrat Medium"/>
        <family val="3"/>
      </rPr>
      <t>(MUSD2020/MW)</t>
    </r>
  </si>
  <si>
    <r>
      <t xml:space="preserve">Variable O&amp;M </t>
    </r>
    <r>
      <rPr>
        <sz val="8"/>
        <color theme="1"/>
        <rFont val="Montserrat Medium"/>
        <family val="3"/>
      </rPr>
      <t>(USD2020/MWh/year)</t>
    </r>
  </si>
  <si>
    <r>
      <t xml:space="preserve">Specific investment </t>
    </r>
    <r>
      <rPr>
        <sz val="8"/>
        <color theme="1"/>
        <rFont val="Montserrat Medium"/>
        <family val="3"/>
      </rPr>
      <t>(MUSD2020 per MW)</t>
    </r>
  </si>
  <si>
    <r>
      <t xml:space="preserve">Specific power </t>
    </r>
    <r>
      <rPr>
        <sz val="8"/>
        <color theme="1"/>
        <rFont val="Montserrat Medium"/>
        <family val="3"/>
      </rPr>
      <t>(W/kg)</t>
    </r>
  </si>
  <si>
    <r>
      <t xml:space="preserve">Power density </t>
    </r>
    <r>
      <rPr>
        <sz val="8"/>
        <color theme="1"/>
        <rFont val="Montserrat Medium"/>
        <family val="3"/>
      </rPr>
      <t>(kW/m3)</t>
    </r>
  </si>
  <si>
    <r>
      <t xml:space="preserve"> energy component </t>
    </r>
    <r>
      <rPr>
        <sz val="9"/>
        <color rgb="FF000000"/>
        <rFont val="Montserrat Medium"/>
        <family val="3"/>
      </rPr>
      <t>(MUSD2020 per MWh)</t>
    </r>
  </si>
  <si>
    <t>Tecnología</t>
  </si>
  <si>
    <t>Datos de energía/tecnicos</t>
  </si>
  <si>
    <t>Forma de energía almacenada</t>
  </si>
  <si>
    <t xml:space="preserve">Aplicación </t>
  </si>
  <si>
    <t>Capacidad de almacenamiento por unidad (MWh)</t>
  </si>
  <si>
    <t>Capacidad de inyección/descarga por unidad (MW)</t>
  </si>
  <si>
    <t>Capacidad de entrada por unidad (MW)</t>
  </si>
  <si>
    <t>Eficiencia de carga (%)</t>
  </si>
  <si>
    <t>Eficiencia de descarga (%)</t>
  </si>
  <si>
    <t>Perdida de energía durante el almacenamiento (%/día)</t>
  </si>
  <si>
    <t>Interrupción forzada (%)</t>
  </si>
  <si>
    <t>Interrupción planificada (Semanas por año)</t>
  </si>
  <si>
    <t>Tiempo de vida técnico (años)</t>
  </si>
  <si>
    <t>Tiempo de construcción (años)</t>
  </si>
  <si>
    <t>Habilidad de regulación</t>
  </si>
  <si>
    <t>Tiempo de respuesta desde inactivo hasta descarga nominal completa (seg.)</t>
  </si>
  <si>
    <t>Tiempo de respuesta desde la carga nominal completa hasta la descarga nominal completa (seg)</t>
  </si>
  <si>
    <t>Datos Financieros</t>
  </si>
  <si>
    <t>Costos Fijos de Operación y Mantenimiento (kUSD2020/MW/año)</t>
  </si>
  <si>
    <t>Datos especifico por tecnologia</t>
  </si>
  <si>
    <t>Poder especifico (W/kg)</t>
  </si>
  <si>
    <t>Densidad de poder (kW/m3)</t>
  </si>
  <si>
    <t>Energía específica (Wh/kg)</t>
  </si>
  <si>
    <t>Densidad especifica (kWh/m3)</t>
  </si>
  <si>
    <t>Inversión específica (MUSD2020 / MW)</t>
  </si>
  <si>
    <t>Volante de Inercia</t>
  </si>
  <si>
    <t>Incertidumbre (2020)</t>
  </si>
  <si>
    <t>Incertidumbre (2030)</t>
  </si>
  <si>
    <t>Baja</t>
  </si>
  <si>
    <t>Alta</t>
  </si>
  <si>
    <t>Nota</t>
  </si>
  <si>
    <t>Reserva de contención de frecuencia</t>
  </si>
  <si>
    <t>IRENA ha desarrollado una herramienta para estimar los costos de ciertos tipos de aplicaciones de almacenamiento.</t>
  </si>
  <si>
    <t>Inferido como la raíz cuadrada de la eficiencia del viaje de ida y vuelta (suponiendo que la eficiencia de carga y descarga debe ser igual).</t>
  </si>
  <si>
    <t>Estos datos se interpretan dentro de la herramienta IRENA como: "Coste de instalación de energía"</t>
  </si>
  <si>
    <t>Los rangos de incertidumbre siguen los supuestos de las tendencias del mercado especificadas en [2], basadas en valores promedio de [3].</t>
  </si>
  <si>
    <t>Estos datos se interpretan dentro de la herramienta IRENA como: "Inversión total por almacenamiento de kWh utilizable", y son verificables como resultado de: Almacenamiento de energía + Conversión de energía / Almacenamiento utilizable Capacidad. DADO QUE LOS DATOS PARA EL COMPONENTE DE ENERGÍA Y CAPACIDAD ESTÁN DISPONIBLES, ES POSIBLE DEDUCIRSE LA INVERSIÓN ESPECÍFICA POR LO TANTO IRENA REALIZA ALGUNOS AJUSTES PARA MOSTRAR EL VALOR DE "Invertir por kWh (ENERGÍA) de almacenamiento utilizable".</t>
  </si>
  <si>
    <t>Datos tecnicos</t>
  </si>
  <si>
    <t>Eficiencia de ciclo (%)</t>
  </si>
  <si>
    <t>Perdida de Energía durante el almacenamiento (%/día)</t>
  </si>
  <si>
    <t>Interrupción planificada (semanas por año)</t>
  </si>
  <si>
    <t>Tiempo de respuesta del estado inactivo a la descarga completa (seg)</t>
  </si>
  <si>
    <t>Inversión especifica (MUSD2015 / MWh)</t>
  </si>
  <si>
    <t>Componente de energía de la inversión especifica (MUSD2015/MWh)</t>
  </si>
  <si>
    <t>Componente de capacidad de la inversión especifica (MUSD/MW)</t>
  </si>
  <si>
    <t>Costos Fijos de Operación y Mantenimiento (MUSD2020/MW/año)</t>
  </si>
  <si>
    <t>Costos Variables de Operación y Mantenimiento (MUSD2020/MW/año)</t>
  </si>
  <si>
    <t>Vida útil en número total de ciclos</t>
  </si>
  <si>
    <t>Poder especifíco (W/kg)</t>
  </si>
  <si>
    <t>Energía específica  (Wh/kg)</t>
  </si>
  <si>
    <t>Inversión específica (MUSD2020 por MW)</t>
  </si>
  <si>
    <t>Referencia</t>
  </si>
  <si>
    <t>Procedimiento seguido para determinar la proyección</t>
  </si>
  <si>
    <t>1. La tendencia de los datos para estos parámetros (en este caso constante) se identificó en la referencia [1] para volantes.
2. Estos datos se interpretan dentro de la herramienta IRENA como "Capacidad de almacenamiento utilizable" y "Almacenamiento instalado.
3. Se considera que estos parámetros no tendrán variación en el período 2020-2050 debido a su madurez tecnológica.</t>
  </si>
  <si>
    <r>
      <t xml:space="preserve">1. Estos datos se interpretan dentro de la herramienta IRENA como "Eficiencia de ida y vuelta".
2. Ver proyección exponencial llamada </t>
    </r>
    <r>
      <rPr>
        <b/>
        <sz val="8"/>
        <color theme="1"/>
        <rFont val="Montserrat Medium"/>
      </rPr>
      <t>05_RTE</t>
    </r>
  </si>
  <si>
    <r>
      <t xml:space="preserve">1. La tendencia de los datos para estos parámetros (en este caso disminución exponencial) se identificó en la referencia [1] para volantes.
2. Estos datos se interpretan dentro de la herramienta IRENA como "Autodescarga".
3. Ver proyección exponencial llamada </t>
    </r>
    <r>
      <rPr>
        <b/>
        <sz val="8"/>
        <color theme="1"/>
        <rFont val="Montserrat Medium"/>
      </rPr>
      <t>08_ELS</t>
    </r>
  </si>
  <si>
    <t>No hay datos disponibles</t>
  </si>
  <si>
    <r>
      <t xml:space="preserve">1. La tendencia de los datos para estos parámetros </t>
    </r>
    <r>
      <rPr>
        <b/>
        <sz val="8"/>
        <color theme="1"/>
        <rFont val="Montserrat Medium"/>
      </rPr>
      <t>(en este caso el crecimiento exponencial)</t>
    </r>
    <r>
      <rPr>
        <sz val="8"/>
        <color theme="1"/>
        <rFont val="Montserrat Medium"/>
        <family val="3"/>
      </rPr>
      <t xml:space="preserve"> se identificó en la referencia [1] para volantes.
2. Estos datos se interpretan dentro de la herramienta IRENA como "Calendario de vida".
3. Ver proyección exponencial llamada </t>
    </r>
    <r>
      <rPr>
        <b/>
        <sz val="8"/>
        <color theme="1"/>
        <rFont val="Montserrat Medium"/>
      </rPr>
      <t>11_TL</t>
    </r>
  </si>
  <si>
    <t>1. La tendencia de los datos para estos parámetros (en este caso constante) se identificó en la referencia [2] para volantes.
2. Se considera que estos parámetros no tendrán variación en el período 2020-2050 debido a su madurez tecnológica.</t>
  </si>
  <si>
    <t>1. La tendencia de los datos para estos parámetros (en este caso constante) se identificó en la referencia [4] para volantes.
2. Se considera que estos parámetros no tendrán variación en el período 2020-2050 debido a su madurez tecnológica.</t>
  </si>
  <si>
    <t>No hay datos disponibles. Esta debe ser la misma que la respuesta anterior, ya que el sistema utiliza energía cinética / mecánica de giro.</t>
  </si>
  <si>
    <r>
      <t xml:space="preserve">1. La tendencia de los datos para estos parámetros (en este caso disminución exponencial) se identificó en la referencia [1] para volantes.
2. Estos datos se interpretan dentro de la herramienta IRENA como "Costo de instalación de energía" y "Costo de instalación de energía".
3. Ver proyección exponencial llamada </t>
    </r>
    <r>
      <rPr>
        <b/>
        <sz val="8"/>
        <color theme="1"/>
        <rFont val="Montserrat Medium"/>
      </rPr>
      <t>16_EC y 17_CC</t>
    </r>
  </si>
  <si>
    <t>1. Los datos obtenidos para el año 2020 se obtuvieron de [6] (ver Tabla A3). 2. No hay datos disponibles para estimar la tendencia, en consecuencia, los datos del año 2020 se repiten para 2030 y 2050.</t>
  </si>
  <si>
    <t>1. Estos datos se calcularon con una ecuación (consulte la hoja Flywheel)</t>
  </si>
  <si>
    <t>Vida técnica (años)</t>
  </si>
  <si>
    <t>Energía Especifica (Wh/kg)</t>
  </si>
  <si>
    <t>Densidad de Energía (kWh/m3)</t>
  </si>
  <si>
    <t>Capacidad de carga por unidad (MW)</t>
  </si>
  <si>
    <t>Pérdidas de energía durante el almacenamiento (% / día)</t>
  </si>
  <si>
    <t>Tiempo de respuesta desde inactivo hasta descarga nominal completa (seg)</t>
  </si>
  <si>
    <t>Inversión específica (MUSD2020 / MWh)</t>
  </si>
  <si>
    <t>Componente de energía de la inversión especifica (MUSD/MWh)</t>
  </si>
  <si>
    <t>Costos Variables de Operación y Mantenimiento (USD2020/MWh)</t>
  </si>
  <si>
    <t>Poder específico  (W/kg)</t>
  </si>
  <si>
    <t xml:space="preserve">Eficiencia de ciclo (%) </t>
  </si>
  <si>
    <t>2020 (Incertidumbre)</t>
  </si>
  <si>
    <t>2050 (Incertidumbre)</t>
  </si>
  <si>
    <t>Tasa de cambio 2020</t>
  </si>
  <si>
    <t>Tasa de cambio 2030</t>
  </si>
  <si>
    <t>Tasa de cambio 2050</t>
  </si>
  <si>
    <t>Años</t>
  </si>
  <si>
    <t>Baja (%)</t>
  </si>
  <si>
    <t>Alta (%)</t>
  </si>
  <si>
    <t>NOTA</t>
  </si>
  <si>
    <t>1. La incertidumbre se calcula con el comportamiento numérico similar de [2].
2. La tasa de cambio para 2030 se estima mediante regresión lineal entre la tasa de cambio 2020 y 2050 (ver hoja USE_L)</t>
  </si>
  <si>
    <t>1. La incertidumbre se calcula con el comportamiento numérico similar de [2].</t>
  </si>
  <si>
    <t>1. La incertidumbre para estos parámetros tiene el mismo comportamiento que [1] porque el diseño se basa en las mismas capacidades operativas del sistema de almacenamiento de energía.
2. Estos datos se interpretan dentro de la herramienta IRENA como "Capacidad de almacenamiento utilizable", "Eficacia de ida y vuelta", "Autodescarga" y "Potencia de almacenamiento instalada".
3. La incertidumbre es de porcentaje cero porque los volantes son una tecnología de madurez.</t>
  </si>
  <si>
    <t>1. La incertidumbre para estos parámetros tiene el mismo comportamiento que [1] porque el diseño se basa en las mismas capacidades operativas del sistema de almacenamiento de energía.
2. Estos datos se interpretan dentro de la herramienta IRENA como "Calendario de vida".</t>
  </si>
  <si>
    <t>1. La incertidumbre es la misma que [2] para mantener la coherencia entre los datos.</t>
  </si>
  <si>
    <t>1. La incertidumbre es la misma que [4] para mantener la coherencia entre los datos.</t>
  </si>
  <si>
    <t>1. La incertidumbre para estos parámetros tiene el mismo comportamiento que [1] porque el diseño se basa en las mismas capacidades operativas del sistema de almacenamiento de energía.
2. Estos datos se interpretan dentro de la herramienta IRENA como "Costo de instalación de energía" y "Costo de instalación de energía".</t>
  </si>
  <si>
    <t>1. La incertidumbre es la misma que [6] para mantener la coherencia entre los datos (ver Tabla A3).</t>
  </si>
  <si>
    <t>1. La incertidumbre para estos parámetros tiene el mismo comportamiento que [1] porque el diseño se basa en las mismas capacidades operativas del sistema de almacenamiento de energía.
2. Estos datos se interpretan dentro de la herramienta IRENA como "Ciclo de vida".</t>
  </si>
  <si>
    <t>1. La incertidumbre no está disponible para estos parámetros, por lo que se repitieron los datos de 2020 y 2030</t>
  </si>
  <si>
    <t>Notas</t>
  </si>
  <si>
    <t>Referencias</t>
  </si>
  <si>
    <t>Inversión especifica (MUSD2020 / MWh)</t>
  </si>
  <si>
    <t>Costos Variables de Operación y Mantenimiento (USD2020/MWh/año)</t>
  </si>
  <si>
    <t xml:space="preserve"> - Componente de energía  (MUSD2020/MWh)</t>
  </si>
  <si>
    <t xml:space="preserve"> - Componente de capacidad (MUSD2020/MWh) </t>
  </si>
  <si>
    <t>Mecanica/kinetica</t>
  </si>
  <si>
    <t xml:space="preserve">  Eficiencia de carga (%)</t>
  </si>
  <si>
    <t xml:space="preserve">  Eficiencia de descarga (%)</t>
  </si>
  <si>
    <t>1. La tendencia de los datos para estos parámetros (en este caso disminución exponencial) se identificó en la referencia [1] para volantes.
2. Estos datos se calcularon con una ecuación para inversiones específicas (consulte la hoja Flywheels). 
3. En el capítulo de Introducción del Catálogo, se define la ecuación de Inversión Específica.</t>
  </si>
  <si>
    <r>
      <t xml:space="preserve">1. La tendencia de los datos para estos parámetros (en este caso el crecimiento exponencial) se identificó en la referencia [1] para volantes.
2. Estos datos se interpretan dentro de la herramienta IRENA como "Ciclo de vida". 
3. Ver proyección exponencial llamada </t>
    </r>
    <r>
      <rPr>
        <b/>
        <sz val="8"/>
        <color theme="1"/>
        <rFont val="Montserrat Medium"/>
      </rPr>
      <t>23_LTN. 4. Para este parámetro, los valores son valores redondeados en la hoja Flywheels</t>
    </r>
  </si>
  <si>
    <t>1. La incertidumbre se calculó con una ecuación de Inversión Específica (ver hoja Volantes). 
2. En el capítulo de Introducción del Catálogo, se define la ecuación de Inversión Específica.</t>
  </si>
  <si>
    <t>1. La incertidumbre se calculó con una ecuación de Inversión Específica (ver hoja Volantes).
2. En el capítulo de Introducción del Catálogo, se define la ecuación de Inversión Específica.</t>
  </si>
  <si>
    <t>1. Estos datos técnicos se calcularon con una ecuación para la eficiencia de ida y vuelta (ver hoja Volantes).
2. En el capítulo de Introducción del Catálogo, se define la ecuación de Eficiencia de Ida y Vuelta.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</si>
</sst>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 #,##0.00_ ;_ * \-#,##0.00_ ;_ * &quot;-&quot;??_ ;_ @_ "/>
    <numFmt numFmtId="165" formatCode="0.0"/>
    <numFmt numFmtId="166" formatCode="0.000"/>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0"/>
      <name val="Helv"/>
    </font>
    <font>
      <u/>
      <sz val="10"/>
      <color indexed="12"/>
      <name val="Arial"/>
      <family val="2"/>
    </font>
    <font>
      <u/>
      <sz val="11"/>
      <color theme="10"/>
      <name val="Calibri"/>
      <family val="2"/>
      <scheme val="minor"/>
    </font>
    <font>
      <sz val="11"/>
      <color indexed="62"/>
      <name val="Calibri"/>
      <family val="2"/>
    </font>
    <font>
      <sz val="11"/>
      <color indexed="60"/>
      <name val="Calibri"/>
      <family val="2"/>
    </font>
    <font>
      <sz val="10"/>
      <name val="Arial"/>
      <family val="2"/>
    </font>
    <font>
      <b/>
      <sz val="11"/>
      <color indexed="63"/>
      <name val="Calibri"/>
      <family val="2"/>
    </font>
    <font>
      <b/>
      <sz val="11"/>
      <color indexed="8"/>
      <name val="Calibri"/>
      <family val="2"/>
    </font>
    <font>
      <sz val="11"/>
      <color theme="1"/>
      <name val="Montserrat Medium"/>
      <family val="3"/>
    </font>
    <font>
      <sz val="11"/>
      <color rgb="FF44546A"/>
      <name val="Montserrat Medium"/>
      <family val="3"/>
    </font>
    <font>
      <b/>
      <sz val="8"/>
      <color theme="1"/>
      <name val="Montserrat Medium"/>
      <family val="3"/>
    </font>
    <font>
      <b/>
      <sz val="7"/>
      <color theme="1"/>
      <name val="Montserrat Medium"/>
      <family val="3"/>
    </font>
    <font>
      <sz val="8"/>
      <color theme="1"/>
      <name val="Montserrat Medium"/>
      <family val="3"/>
    </font>
    <font>
      <b/>
      <sz val="11"/>
      <color theme="1"/>
      <name val="Montserrat Medium"/>
      <family val="3"/>
    </font>
    <font>
      <sz val="7"/>
      <color theme="1"/>
      <name val="Montserrat Medium"/>
      <family val="3"/>
    </font>
    <font>
      <i/>
      <sz val="11"/>
      <color theme="1"/>
      <name val="Montserrat Medium"/>
      <family val="3"/>
    </font>
    <font>
      <i/>
      <sz val="8"/>
      <color theme="1"/>
      <name val="Montserrat Medium"/>
      <family val="3"/>
    </font>
    <font>
      <sz val="11"/>
      <color rgb="FF000000"/>
      <name val="Montserrat Medium"/>
      <family val="3"/>
    </font>
    <font>
      <sz val="12"/>
      <color theme="1"/>
      <name val="Montserrat Medium"/>
      <family val="3"/>
    </font>
    <font>
      <i/>
      <sz val="12"/>
      <color theme="1"/>
      <name val="Montserrat Medium"/>
      <family val="3"/>
    </font>
    <font>
      <b/>
      <sz val="14"/>
      <color rgb="FF00707D"/>
      <name val="Montserrat Medium"/>
      <family val="3"/>
    </font>
    <font>
      <sz val="10"/>
      <color theme="1"/>
      <name val="Montserrat Medium"/>
      <family val="3"/>
    </font>
    <font>
      <sz val="10"/>
      <color rgb="FF000000"/>
      <name val="Montserrat Medium"/>
      <family val="3"/>
    </font>
    <font>
      <i/>
      <sz val="10"/>
      <color theme="1"/>
      <name val="Montserrat Medium"/>
      <family val="3"/>
    </font>
    <font>
      <b/>
      <sz val="10"/>
      <color theme="1"/>
      <name val="Montserrat Medium"/>
      <family val="3"/>
    </font>
    <font>
      <b/>
      <sz val="9"/>
      <color theme="1"/>
      <name val="Montserrat Medium"/>
      <family val="3"/>
    </font>
    <font>
      <sz val="9"/>
      <color theme="1"/>
      <name val="Montserrat Medium"/>
      <family val="3"/>
    </font>
    <font>
      <sz val="9"/>
      <name val="Montserrat Medium"/>
      <family val="3"/>
    </font>
    <font>
      <sz val="9"/>
      <color rgb="FF000000"/>
      <name val="Montserrat Medium"/>
      <family val="3"/>
    </font>
    <font>
      <b/>
      <sz val="9"/>
      <color rgb="FF000000"/>
      <name val="Montserrat Medium"/>
      <family val="3"/>
    </font>
    <font>
      <sz val="10"/>
      <color theme="1"/>
      <name val="Montserrat Medium"/>
    </font>
    <font>
      <i/>
      <sz val="10"/>
      <color theme="1"/>
      <name val="Montserrat Medium"/>
    </font>
    <font>
      <b/>
      <sz val="10"/>
      <color theme="1"/>
      <name val="Montserrat Medium"/>
    </font>
    <font>
      <sz val="10"/>
      <color theme="1"/>
      <name val="Montserrat Light"/>
    </font>
    <font>
      <b/>
      <sz val="8"/>
      <color theme="1"/>
      <name val="Montserrat Medium"/>
    </font>
    <font>
      <b/>
      <sz val="10"/>
      <color theme="1"/>
      <name val="Montserrat Light"/>
    </font>
  </fonts>
  <fills count="5">
    <fill>
      <patternFill patternType="none"/>
    </fill>
    <fill>
      <patternFill patternType="gray125"/>
    </fill>
    <fill>
      <patternFill patternType="solid">
        <fgColor indexed="47"/>
      </patternFill>
    </fill>
    <fill>
      <patternFill patternType="solid">
        <fgColor indexed="43"/>
      </patternFill>
    </fill>
    <fill>
      <patternFill patternType="solid">
        <fgColor indexed="22"/>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
    <xf numFmtId="0" fontId="0" fillId="0" borderId="0"/>
    <xf numFmtId="0" fontId="1" fillId="0" borderId="0"/>
    <xf numFmtId="43" fontId="1" fillId="0" borderId="0" applyFont="0" applyFill="0" applyBorder="0" applyAlignment="0" applyProtection="0"/>
    <xf numFmtId="164" fontId="1" fillId="0" borderId="0" applyFont="0" applyFill="0" applyBorder="0" applyAlignment="0" applyProtection="0"/>
    <xf numFmtId="0" fontId="3" fillId="0" borderId="0"/>
    <xf numFmtId="0" fontId="3" fillId="0" borderId="0"/>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0" fontId="6" fillId="2" borderId="2" applyNumberFormat="0" applyAlignment="0" applyProtection="0"/>
    <xf numFmtId="43" fontId="1" fillId="0" borderId="0" applyFont="0" applyFill="0" applyBorder="0" applyAlignment="0" applyProtection="0"/>
    <xf numFmtId="164" fontId="3" fillId="0" borderId="0" applyFont="0" applyFill="0" applyBorder="0" applyAlignment="0" applyProtection="0"/>
    <xf numFmtId="0" fontId="5" fillId="0" borderId="0" applyNumberFormat="0" applyFill="0" applyBorder="0" applyAlignment="0" applyProtection="0"/>
    <xf numFmtId="0" fontId="7" fillId="3" borderId="0" applyNumberFormat="0" applyBorder="0" applyAlignment="0" applyProtection="0"/>
    <xf numFmtId="0" fontId="8" fillId="0" borderId="0"/>
    <xf numFmtId="0" fontId="3" fillId="0" borderId="0"/>
    <xf numFmtId="0" fontId="8" fillId="0" borderId="0"/>
    <xf numFmtId="0" fontId="8" fillId="0" borderId="0"/>
    <xf numFmtId="0" fontId="9" fillId="4" borderId="3" applyNumberFormat="0" applyAlignment="0" applyProtection="0"/>
    <xf numFmtId="0" fontId="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0" fillId="0" borderId="4" applyNumberFormat="0" applyFill="0" applyAlignment="0" applyProtection="0"/>
    <xf numFmtId="9" fontId="1" fillId="0" borderId="0" applyFont="0" applyFill="0" applyBorder="0" applyAlignment="0" applyProtection="0"/>
  </cellStyleXfs>
  <cellXfs count="130">
    <xf numFmtId="0" fontId="0" fillId="0" borderId="0" xfId="0"/>
    <xf numFmtId="0" fontId="11" fillId="0" borderId="0" xfId="1" applyFont="1" applyFill="1" applyBorder="1"/>
    <xf numFmtId="0" fontId="12" fillId="0" borderId="0" xfId="1" applyFont="1" applyFill="1" applyBorder="1" applyAlignment="1">
      <alignment vertical="center"/>
    </xf>
    <xf numFmtId="0" fontId="14" fillId="0" borderId="0" xfId="1" applyFont="1" applyFill="1" applyBorder="1" applyAlignment="1">
      <alignment horizontal="center" vertical="center" wrapText="1"/>
    </xf>
    <xf numFmtId="0" fontId="11" fillId="0" borderId="0" xfId="1" applyFont="1" applyFill="1" applyBorder="1" applyAlignment="1">
      <alignment vertical="center" wrapText="1"/>
    </xf>
    <xf numFmtId="0" fontId="16" fillId="0" borderId="0" xfId="1" applyFont="1" applyFill="1" applyBorder="1" applyAlignment="1">
      <alignment vertical="center"/>
    </xf>
    <xf numFmtId="0" fontId="11" fillId="0" borderId="0" xfId="1" applyFont="1" applyFill="1" applyBorder="1" applyAlignment="1">
      <alignment vertical="center"/>
    </xf>
    <xf numFmtId="0" fontId="14" fillId="0" borderId="0" xfId="1" applyFont="1" applyFill="1" applyBorder="1" applyAlignment="1">
      <alignment vertical="center" wrapText="1"/>
    </xf>
    <xf numFmtId="0" fontId="17" fillId="0" borderId="0" xfId="1" applyFont="1" applyFill="1" applyBorder="1" applyAlignment="1">
      <alignment horizontal="center" vertical="center" wrapText="1"/>
    </xf>
    <xf numFmtId="0" fontId="18" fillId="0" borderId="0" xfId="1" applyFont="1" applyFill="1" applyBorder="1" applyAlignment="1">
      <alignment vertical="center"/>
    </xf>
    <xf numFmtId="0" fontId="11" fillId="0" borderId="0" xfId="0" applyFont="1" applyFill="1" applyBorder="1" applyAlignment="1" applyProtection="1">
      <alignment horizontal="right"/>
      <protection locked="0"/>
    </xf>
    <xf numFmtId="165" fontId="16" fillId="0" borderId="0" xfId="0" applyNumberFormat="1" applyFont="1" applyFill="1" applyBorder="1" applyAlignment="1" applyProtection="1">
      <alignment horizontal="right"/>
      <protection hidden="1"/>
    </xf>
    <xf numFmtId="0" fontId="16" fillId="0" borderId="0" xfId="0" applyFont="1" applyFill="1" applyBorder="1" applyProtection="1">
      <protection locked="0"/>
    </xf>
    <xf numFmtId="165" fontId="11" fillId="0" borderId="0" xfId="0" applyNumberFormat="1" applyFont="1" applyFill="1" applyBorder="1" applyAlignment="1" applyProtection="1">
      <alignment horizontal="right"/>
      <protection hidden="1"/>
    </xf>
    <xf numFmtId="0" fontId="11" fillId="0" borderId="0" xfId="0" applyFont="1" applyFill="1" applyBorder="1" applyProtection="1">
      <protection locked="0"/>
    </xf>
    <xf numFmtId="0" fontId="11" fillId="0" borderId="0" xfId="1" applyFont="1" applyFill="1" applyBorder="1" applyAlignment="1">
      <alignment horizontal="right"/>
    </xf>
    <xf numFmtId="0" fontId="20" fillId="0" borderId="0" xfId="1" applyFont="1" applyFill="1" applyBorder="1"/>
    <xf numFmtId="0" fontId="11" fillId="0" borderId="0" xfId="0" applyFont="1" applyFill="1" applyBorder="1"/>
    <xf numFmtId="0" fontId="21" fillId="0" borderId="0" xfId="14" applyFont="1" applyFill="1" applyBorder="1"/>
    <xf numFmtId="0" fontId="20" fillId="0" borderId="0" xfId="1" applyFont="1" applyFill="1" applyBorder="1" applyAlignment="1">
      <alignment horizontal="left" vertical="center"/>
    </xf>
    <xf numFmtId="0" fontId="11" fillId="0" borderId="0" xfId="1" applyFont="1" applyFill="1" applyBorder="1" applyAlignment="1">
      <alignment horizontal="left"/>
    </xf>
    <xf numFmtId="0" fontId="23" fillId="0" borderId="0" xfId="1" applyFont="1" applyFill="1" applyBorder="1" applyAlignment="1">
      <alignment horizontal="left" vertical="center"/>
    </xf>
    <xf numFmtId="0" fontId="11" fillId="0" borderId="0" xfId="0" applyFont="1" applyFill="1" applyAlignment="1">
      <alignment horizontal="center" vertical="center" wrapText="1"/>
    </xf>
    <xf numFmtId="0" fontId="11" fillId="0" borderId="0" xfId="0" applyFont="1"/>
    <xf numFmtId="0" fontId="13" fillId="0" borderId="0" xfId="0" applyFont="1" applyAlignment="1">
      <alignment horizontal="left" vertical="center" wrapText="1"/>
    </xf>
    <xf numFmtId="0" fontId="13" fillId="0" borderId="0" xfId="0" applyFont="1" applyFill="1" applyAlignment="1">
      <alignment horizontal="left" vertical="center" wrapText="1"/>
    </xf>
    <xf numFmtId="0" fontId="11" fillId="0" borderId="0" xfId="0" applyFont="1" applyAlignment="1">
      <alignment horizontal="left"/>
    </xf>
    <xf numFmtId="0" fontId="13" fillId="0" borderId="1" xfId="0" applyFont="1" applyBorder="1" applyAlignment="1">
      <alignment horizontal="left" vertical="center" wrapText="1"/>
    </xf>
    <xf numFmtId="0" fontId="11" fillId="0" borderId="0" xfId="0" applyFont="1" applyAlignment="1">
      <alignment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1" fillId="0" borderId="1" xfId="0" applyFont="1" applyBorder="1" applyAlignment="1">
      <alignment horizontal="center" vertical="center"/>
    </xf>
    <xf numFmtId="0" fontId="11" fillId="0" borderId="1" xfId="0" applyFont="1" applyBorder="1"/>
    <xf numFmtId="0" fontId="16" fillId="0" borderId="1" xfId="0" applyFont="1" applyBorder="1" applyAlignment="1">
      <alignment horizontal="center" vertical="center"/>
    </xf>
    <xf numFmtId="2" fontId="11" fillId="0" borderId="1" xfId="0" applyNumberFormat="1" applyFont="1" applyBorder="1" applyAlignment="1">
      <alignment horizontal="center" vertical="center"/>
    </xf>
    <xf numFmtId="166" fontId="11" fillId="0" borderId="1" xfId="23" applyNumberFormat="1" applyFont="1" applyBorder="1" applyAlignment="1">
      <alignment horizontal="center" vertical="center"/>
    </xf>
    <xf numFmtId="166" fontId="11" fillId="0" borderId="1" xfId="0" applyNumberFormat="1" applyFont="1" applyBorder="1" applyAlignment="1">
      <alignment horizontal="center" vertical="center"/>
    </xf>
    <xf numFmtId="0" fontId="16" fillId="0" borderId="0" xfId="0" applyFont="1" applyFill="1" applyAlignment="1">
      <alignment horizontal="left" vertical="center" wrapText="1"/>
    </xf>
    <xf numFmtId="0" fontId="16" fillId="0" borderId="0" xfId="0" applyFont="1" applyFill="1" applyAlignment="1">
      <alignment horizontal="center" vertical="center" wrapText="1"/>
    </xf>
    <xf numFmtId="0" fontId="13" fillId="0" borderId="0" xfId="0" applyFont="1" applyFill="1" applyAlignment="1">
      <alignment horizontal="center" vertical="center" wrapText="1"/>
    </xf>
    <xf numFmtId="1" fontId="11" fillId="0" borderId="0" xfId="0" applyNumberFormat="1" applyFont="1" applyFill="1" applyAlignment="1">
      <alignment horizontal="center" vertical="center" wrapText="1"/>
    </xf>
    <xf numFmtId="165" fontId="11" fillId="0" borderId="0" xfId="0" applyNumberFormat="1" applyFont="1" applyFill="1" applyAlignment="1">
      <alignment horizontal="center" vertical="center" wrapText="1"/>
    </xf>
    <xf numFmtId="0" fontId="15" fillId="0" borderId="0" xfId="0" applyFont="1" applyFill="1" applyAlignment="1">
      <alignment horizontal="center" vertical="center" wrapText="1"/>
    </xf>
    <xf numFmtId="2" fontId="11" fillId="0" borderId="0" xfId="0" applyNumberFormat="1" applyFont="1" applyFill="1" applyAlignment="1">
      <alignment horizontal="center" vertical="center" wrapText="1"/>
    </xf>
    <xf numFmtId="166" fontId="11" fillId="0" borderId="0" xfId="0" applyNumberFormat="1" applyFont="1" applyFill="1" applyAlignment="1">
      <alignment horizontal="center" vertical="center" wrapText="1"/>
    </xf>
    <xf numFmtId="0" fontId="15" fillId="0" borderId="0" xfId="0" applyFont="1" applyFill="1" applyAlignment="1">
      <alignment vertical="center" wrapText="1"/>
    </xf>
    <xf numFmtId="3" fontId="11" fillId="0" borderId="0" xfId="0" applyNumberFormat="1" applyFont="1" applyFill="1" applyAlignment="1">
      <alignment horizontal="center" vertical="center" wrapText="1"/>
    </xf>
    <xf numFmtId="0" fontId="18" fillId="0" borderId="0" xfId="0" applyFont="1" applyFill="1" applyAlignment="1">
      <alignment horizontal="center" vertical="center" wrapText="1"/>
    </xf>
    <xf numFmtId="1" fontId="18" fillId="0" borderId="0" xfId="0" applyNumberFormat="1" applyFont="1" applyFill="1" applyAlignment="1">
      <alignment horizontal="center" vertical="center" wrapText="1"/>
    </xf>
    <xf numFmtId="0" fontId="11" fillId="0" borderId="0" xfId="0" applyFont="1" applyFill="1" applyAlignment="1">
      <alignment horizontal="left" vertical="center" wrapText="1"/>
    </xf>
    <xf numFmtId="0" fontId="24" fillId="0" borderId="0" xfId="1" applyFont="1" applyFill="1" applyAlignment="1">
      <alignment horizontal="right"/>
    </xf>
    <xf numFmtId="0" fontId="24" fillId="0" borderId="0" xfId="1" applyFont="1" applyFill="1"/>
    <xf numFmtId="0" fontId="25" fillId="0" borderId="0" xfId="1" applyFont="1" applyFill="1"/>
    <xf numFmtId="0" fontId="24" fillId="0" borderId="0" xfId="0" applyFont="1" applyFill="1"/>
    <xf numFmtId="0" fontId="24" fillId="0" borderId="0" xfId="14" applyFont="1" applyFill="1"/>
    <xf numFmtId="0" fontId="16" fillId="0" borderId="0" xfId="0" applyFont="1" applyFill="1" applyAlignment="1">
      <alignment vertical="center" wrapText="1"/>
    </xf>
    <xf numFmtId="0" fontId="11" fillId="0" borderId="0" xfId="0" applyFont="1" applyFill="1"/>
    <xf numFmtId="0" fontId="11" fillId="0" borderId="0" xfId="0" applyFont="1" applyFill="1" applyAlignment="1"/>
    <xf numFmtId="0" fontId="11" fillId="0" borderId="0" xfId="0" applyFont="1" applyFill="1" applyAlignment="1">
      <alignment vertical="center"/>
    </xf>
    <xf numFmtId="0" fontId="11" fillId="0" borderId="0" xfId="0" applyFont="1" applyFill="1" applyAlignment="1">
      <alignment vertical="center" wrapText="1"/>
    </xf>
    <xf numFmtId="0" fontId="11" fillId="0" borderId="0" xfId="0" applyFont="1" applyFill="1" applyBorder="1" applyAlignment="1">
      <alignment vertical="center" wrapText="1"/>
    </xf>
    <xf numFmtId="0" fontId="11" fillId="0" borderId="0" xfId="0" applyFont="1" applyFill="1" applyBorder="1" applyAlignment="1">
      <alignment vertical="center"/>
    </xf>
    <xf numFmtId="0" fontId="2" fillId="0" borderId="0" xfId="0" applyFont="1" applyFill="1" applyBorder="1" applyAlignment="1">
      <alignment vertical="top" wrapText="1"/>
    </xf>
    <xf numFmtId="0" fontId="27" fillId="0" borderId="0" xfId="0" applyFont="1" applyFill="1" applyBorder="1" applyAlignment="1">
      <alignment vertical="top" wrapText="1"/>
    </xf>
    <xf numFmtId="0" fontId="16" fillId="0" borderId="0" xfId="0" applyFont="1" applyFill="1" applyBorder="1" applyAlignment="1">
      <alignment vertical="top"/>
    </xf>
    <xf numFmtId="0" fontId="28" fillId="0" borderId="1" xfId="1" applyFont="1" applyFill="1" applyBorder="1" applyAlignment="1">
      <alignment vertical="center" wrapText="1"/>
    </xf>
    <xf numFmtId="0" fontId="29" fillId="0" borderId="1" xfId="1" applyFont="1" applyFill="1" applyBorder="1" applyAlignment="1">
      <alignment horizontal="center" vertical="center" wrapText="1"/>
    </xf>
    <xf numFmtId="165" fontId="31" fillId="0" borderId="1" xfId="1" applyNumberFormat="1" applyFont="1" applyFill="1" applyBorder="1" applyAlignment="1">
      <alignment horizontal="center" vertical="center" wrapText="1"/>
    </xf>
    <xf numFmtId="1" fontId="31" fillId="0" borderId="1" xfId="1" applyNumberFormat="1" applyFont="1" applyFill="1" applyBorder="1" applyAlignment="1">
      <alignment horizontal="center" vertical="center" wrapText="1"/>
    </xf>
    <xf numFmtId="1" fontId="29" fillId="0" borderId="1" xfId="1" applyNumberFormat="1" applyFont="1" applyFill="1" applyBorder="1" applyAlignment="1">
      <alignment horizontal="center" vertical="center" wrapText="1"/>
    </xf>
    <xf numFmtId="0" fontId="31" fillId="0" borderId="1" xfId="1" applyFont="1" applyFill="1" applyBorder="1" applyAlignment="1">
      <alignment horizontal="center" vertical="center" wrapText="1"/>
    </xf>
    <xf numFmtId="2" fontId="31" fillId="0" borderId="1" xfId="1" applyNumberFormat="1" applyFont="1" applyFill="1" applyBorder="1" applyAlignment="1">
      <alignment horizontal="center" vertical="center" wrapText="1"/>
    </xf>
    <xf numFmtId="166" fontId="31" fillId="0" borderId="1" xfId="1" applyNumberFormat="1" applyFont="1" applyFill="1" applyBorder="1" applyAlignment="1">
      <alignment horizontal="center" vertical="center" wrapText="1"/>
    </xf>
    <xf numFmtId="165" fontId="29" fillId="0" borderId="1" xfId="1" applyNumberFormat="1" applyFont="1" applyFill="1" applyBorder="1" applyAlignment="1">
      <alignment horizontal="center" vertical="center" wrapText="1"/>
    </xf>
    <xf numFmtId="2" fontId="29" fillId="0" borderId="1" xfId="1" applyNumberFormat="1" applyFont="1" applyFill="1" applyBorder="1" applyAlignment="1">
      <alignment horizontal="center" vertical="center" wrapText="1"/>
    </xf>
    <xf numFmtId="3" fontId="31" fillId="0" borderId="1" xfId="1" applyNumberFormat="1" applyFont="1" applyFill="1" applyBorder="1" applyAlignment="1">
      <alignment horizontal="center" vertical="center" wrapText="1"/>
    </xf>
    <xf numFmtId="0" fontId="28" fillId="0" borderId="11" xfId="1" applyFont="1" applyFill="1" applyBorder="1" applyAlignment="1">
      <alignment vertical="center" wrapText="1"/>
    </xf>
    <xf numFmtId="0" fontId="28" fillId="0" borderId="12" xfId="1" applyFont="1" applyFill="1" applyBorder="1" applyAlignment="1">
      <alignment vertical="center" wrapText="1"/>
    </xf>
    <xf numFmtId="0" fontId="29" fillId="0" borderId="12" xfId="1" applyFont="1" applyFill="1" applyBorder="1" applyAlignment="1">
      <alignment horizontal="left" vertical="center" wrapText="1"/>
    </xf>
    <xf numFmtId="0" fontId="31" fillId="0" borderId="12" xfId="1" applyFont="1" applyFill="1" applyBorder="1" applyAlignment="1">
      <alignment horizontal="left" vertical="center" wrapText="1"/>
    </xf>
    <xf numFmtId="0" fontId="31" fillId="0" borderId="13" xfId="1" applyFont="1" applyFill="1" applyBorder="1" applyAlignment="1">
      <alignment horizontal="left" vertical="center" wrapText="1"/>
    </xf>
    <xf numFmtId="0" fontId="33" fillId="0" borderId="1" xfId="14" applyFont="1" applyBorder="1" applyAlignment="1">
      <alignment wrapText="1"/>
    </xf>
    <xf numFmtId="0" fontId="33" fillId="0" borderId="1" xfId="0" applyFont="1" applyBorder="1" applyAlignment="1">
      <alignment horizontal="justify" vertical="center" wrapText="1"/>
    </xf>
    <xf numFmtId="0" fontId="34" fillId="0" borderId="1" xfId="0" applyFont="1" applyBorder="1" applyAlignment="1">
      <alignment horizontal="justify" vertical="center" wrapText="1"/>
    </xf>
    <xf numFmtId="0" fontId="35" fillId="0" borderId="1" xfId="0" applyFont="1" applyBorder="1" applyAlignment="1">
      <alignment horizontal="justify" vertical="center" wrapText="1"/>
    </xf>
    <xf numFmtId="0" fontId="33" fillId="0" borderId="1" xfId="14" applyFont="1" applyBorder="1" applyAlignment="1">
      <alignment vertical="center" wrapText="1"/>
    </xf>
    <xf numFmtId="0" fontId="35" fillId="0" borderId="1" xfId="14" applyFont="1" applyBorder="1" applyAlignment="1">
      <alignment vertical="center" wrapText="1"/>
    </xf>
    <xf numFmtId="0" fontId="36" fillId="0" borderId="1" xfId="0" applyFont="1" applyBorder="1" applyAlignment="1">
      <alignment horizontal="justify" vertical="center" wrapText="1"/>
    </xf>
    <xf numFmtId="0" fontId="38" fillId="0" borderId="1" xfId="14" applyFont="1" applyBorder="1" applyAlignment="1">
      <alignment vertical="center" wrapText="1"/>
    </xf>
    <xf numFmtId="0" fontId="14" fillId="0" borderId="0" xfId="1" applyFont="1" applyFill="1" applyBorder="1" applyAlignment="1">
      <alignment horizontal="center" vertical="center" wrapText="1"/>
    </xf>
    <xf numFmtId="0" fontId="28" fillId="0" borderId="12" xfId="1" applyFont="1" applyFill="1" applyBorder="1" applyAlignment="1">
      <alignment horizontal="left" vertical="center" wrapText="1"/>
    </xf>
    <xf numFmtId="0" fontId="28" fillId="0" borderId="1" xfId="1" applyFont="1" applyFill="1" applyBorder="1" applyAlignment="1">
      <alignment horizontal="left" vertical="center" wrapText="1"/>
    </xf>
    <xf numFmtId="0" fontId="32" fillId="0" borderId="12" xfId="1" applyFont="1" applyFill="1" applyBorder="1" applyAlignment="1">
      <alignment horizontal="left" vertical="center" wrapText="1"/>
    </xf>
    <xf numFmtId="0" fontId="32" fillId="0" borderId="1" xfId="1" applyFont="1" applyFill="1" applyBorder="1" applyAlignment="1">
      <alignment horizontal="left" vertical="center" wrapText="1"/>
    </xf>
    <xf numFmtId="0" fontId="29" fillId="0" borderId="12" xfId="1" applyFont="1" applyFill="1" applyBorder="1" applyAlignment="1">
      <alignment vertical="center" wrapText="1"/>
    </xf>
    <xf numFmtId="0" fontId="28" fillId="0" borderId="1"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28" fillId="0" borderId="1"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4" fillId="0" borderId="0" xfId="1" applyFont="1" applyFill="1" applyBorder="1" applyAlignment="1">
      <alignment vertical="center" wrapText="1"/>
    </xf>
    <xf numFmtId="0" fontId="15" fillId="0" borderId="0" xfId="0" applyFont="1" applyFill="1" applyAlignment="1">
      <alignment horizontal="center" vertical="center" wrapText="1"/>
    </xf>
    <xf numFmtId="0" fontId="16" fillId="0" borderId="1"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9" xfId="0" applyFont="1" applyBorder="1" applyAlignment="1">
      <alignment horizontal="center" vertical="center" wrapText="1"/>
    </xf>
    <xf numFmtId="0" fontId="16" fillId="0" borderId="0" xfId="0" applyFont="1" applyAlignment="1">
      <alignment horizontal="left" vertical="center"/>
    </xf>
    <xf numFmtId="0" fontId="11" fillId="0" borderId="1" xfId="0" applyFont="1" applyBorder="1" applyAlignment="1">
      <alignment horizontal="center" vertical="center"/>
    </xf>
    <xf numFmtId="0" fontId="16" fillId="0" borderId="0" xfId="1" applyFont="1" applyFill="1" applyBorder="1" applyAlignment="1">
      <alignment horizontal="left" vertical="center"/>
    </xf>
    <xf numFmtId="0" fontId="30" fillId="0" borderId="15" xfId="1" applyFont="1" applyFill="1" applyBorder="1" applyAlignment="1">
      <alignment horizontal="center" vertical="center" wrapText="1"/>
    </xf>
    <xf numFmtId="0" fontId="30" fillId="0" borderId="17" xfId="1" applyFont="1" applyFill="1" applyBorder="1" applyAlignment="1">
      <alignment horizontal="center" vertical="center" wrapText="1"/>
    </xf>
    <xf numFmtId="0" fontId="30" fillId="0" borderId="16" xfId="1" applyFont="1" applyFill="1" applyBorder="1" applyAlignment="1">
      <alignment horizontal="center" vertical="center" wrapText="1"/>
    </xf>
    <xf numFmtId="0" fontId="27" fillId="0" borderId="1" xfId="0" applyFont="1" applyBorder="1" applyAlignment="1">
      <alignment vertical="center" wrapText="1"/>
    </xf>
    <xf numFmtId="0" fontId="27" fillId="0" borderId="14" xfId="0" applyFont="1" applyBorder="1" applyAlignment="1">
      <alignment horizontal="center" vertical="center" wrapText="1"/>
    </xf>
    <xf numFmtId="0" fontId="27" fillId="0" borderId="1" xfId="0" applyFont="1" applyBorder="1" applyAlignment="1">
      <alignment horizontal="left" vertical="center" wrapText="1"/>
    </xf>
    <xf numFmtId="0" fontId="15" fillId="0" borderId="0" xfId="0" applyFont="1" applyFill="1" applyAlignment="1">
      <alignment vertical="top" wrapText="1"/>
    </xf>
    <xf numFmtId="0" fontId="15" fillId="0" borderId="0" xfId="0" applyFont="1" applyFill="1" applyAlignment="1">
      <alignment vertical="top" wrapText="1"/>
    </xf>
    <xf numFmtId="0" fontId="13" fillId="0" borderId="0" xfId="0" applyFont="1" applyFill="1" applyAlignment="1">
      <alignment vertical="top" wrapText="1"/>
    </xf>
    <xf numFmtId="0" fontId="13" fillId="0" borderId="0" xfId="0" applyFont="1" applyFill="1" applyAlignment="1">
      <alignment vertical="top" wrapText="1"/>
    </xf>
    <xf numFmtId="0" fontId="15" fillId="0" borderId="0" xfId="0" applyFont="1" applyFill="1" applyAlignment="1">
      <alignment horizontal="left" vertical="top" wrapText="1"/>
    </xf>
    <xf numFmtId="0" fontId="29" fillId="0" borderId="1" xfId="0" applyFont="1" applyBorder="1" applyAlignment="1">
      <alignment horizontal="left" vertical="top" wrapText="1"/>
    </xf>
    <xf numFmtId="0" fontId="29" fillId="0" borderId="1" xfId="0" applyFont="1" applyFill="1" applyBorder="1" applyAlignment="1">
      <alignment horizontal="left" vertical="top"/>
    </xf>
    <xf numFmtId="0" fontId="29" fillId="0" borderId="1" xfId="0" applyFont="1" applyBorder="1" applyAlignment="1">
      <alignment horizontal="left" vertical="top"/>
    </xf>
    <xf numFmtId="0" fontId="36" fillId="0" borderId="1" xfId="14" applyFont="1" applyBorder="1" applyAlignment="1">
      <alignment vertical="center" wrapText="1"/>
    </xf>
    <xf numFmtId="0" fontId="36" fillId="0" borderId="1" xfId="0" applyFont="1" applyBorder="1" applyAlignment="1">
      <alignment horizontal="left" vertical="center" wrapText="1"/>
    </xf>
  </cellXfs>
  <cellStyles count="24">
    <cellStyle name="Comma 2" xfId="2" xr:uid="{00000000-0005-0000-0000-000000000000}"/>
    <cellStyle name="Comma 3" xfId="3" xr:uid="{00000000-0005-0000-0000-000001000000}"/>
    <cellStyle name="Comma0 - Type3" xfId="4" xr:uid="{00000000-0005-0000-0000-000002000000}"/>
    <cellStyle name="Fixed2 - Type2" xfId="5" xr:uid="{00000000-0005-0000-0000-000003000000}"/>
    <cellStyle name="Hyperlink 2" xfId="6" xr:uid="{00000000-0005-0000-0000-000004000000}"/>
    <cellStyle name="Hyperlink 3" xfId="7" xr:uid="{00000000-0005-0000-0000-000005000000}"/>
    <cellStyle name="Input 2" xfId="8" xr:uid="{00000000-0005-0000-0000-000006000000}"/>
    <cellStyle name="Komma 2" xfId="9" xr:uid="{00000000-0005-0000-0000-000007000000}"/>
    <cellStyle name="Komma 3" xfId="10" xr:uid="{00000000-0005-0000-0000-000008000000}"/>
    <cellStyle name="Link 2" xfId="11" xr:uid="{00000000-0005-0000-0000-000009000000}"/>
    <cellStyle name="Neutral 2" xfId="12" xr:uid="{00000000-0005-0000-0000-00000A000000}"/>
    <cellStyle name="Normal" xfId="0" builtinId="0"/>
    <cellStyle name="Normal 10" xfId="13" xr:uid="{00000000-0005-0000-0000-00000C000000}"/>
    <cellStyle name="Normal 2" xfId="14" xr:uid="{00000000-0005-0000-0000-00000D000000}"/>
    <cellStyle name="Normal 3" xfId="1" xr:uid="{00000000-0005-0000-0000-00000E000000}"/>
    <cellStyle name="Normal 6" xfId="15" xr:uid="{00000000-0005-0000-0000-00000F000000}"/>
    <cellStyle name="Normal 6 2" xfId="16" xr:uid="{00000000-0005-0000-0000-000010000000}"/>
    <cellStyle name="Output 2" xfId="17" xr:uid="{00000000-0005-0000-0000-000011000000}"/>
    <cellStyle name="Percen - Type1" xfId="18" xr:uid="{00000000-0005-0000-0000-000012000000}"/>
    <cellStyle name="Percent 2" xfId="19" xr:uid="{00000000-0005-0000-0000-000013000000}"/>
    <cellStyle name="Porcentaje" xfId="23" builtinId="5"/>
    <cellStyle name="Procent 2" xfId="20" xr:uid="{00000000-0005-0000-0000-000015000000}"/>
    <cellStyle name="Procent 3" xfId="21" xr:uid="{00000000-0005-0000-0000-000016000000}"/>
    <cellStyle name="Total 2" xfId="22" xr:uid="{00000000-0005-0000-0000-00001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externalLink" Target="externalLinks/externalLink1.xml"/><Relationship Id="rId5" Type="http://schemas.openxmlformats.org/officeDocument/2006/relationships/chartsheet" Target="chartsheets/sheet2.xml"/><Relationship Id="rId15" Type="http://schemas.openxmlformats.org/officeDocument/2006/relationships/styles" Target="styles.xml"/><Relationship Id="rId10" Type="http://schemas.openxmlformats.org/officeDocument/2006/relationships/chartsheet" Target="chartsheets/sheet7.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8.484445212452002E-2"/>
                  <c:y val="0.65576158464982448"/>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Uncertanties!$T$2:$T$3</c:f>
              <c:numCache>
                <c:formatCode>General</c:formatCode>
                <c:ptCount val="2"/>
                <c:pt idx="0">
                  <c:v>2020</c:v>
                </c:pt>
                <c:pt idx="1">
                  <c:v>2050</c:v>
                </c:pt>
              </c:numCache>
            </c:numRef>
          </c:xVal>
          <c:yVal>
            <c:numRef>
              <c:f>Uncertanties!$U$2:$U$3</c:f>
              <c:numCache>
                <c:formatCode>0.00</c:formatCode>
                <c:ptCount val="2"/>
                <c:pt idx="0">
                  <c:v>-0.14285714285714285</c:v>
                </c:pt>
                <c:pt idx="1">
                  <c:v>0</c:v>
                </c:pt>
              </c:numCache>
            </c:numRef>
          </c:yVal>
          <c:smooth val="1"/>
          <c:extLst>
            <c:ext xmlns:c16="http://schemas.microsoft.com/office/drawing/2014/chart" uri="{C3380CC4-5D6E-409C-BE32-E72D297353CC}">
              <c16:uniqueId val="{00000000-573B-42E3-ADA2-781A712EE016}"/>
            </c:ext>
          </c:extLst>
        </c:ser>
        <c:dLbls>
          <c:showLegendKey val="0"/>
          <c:showVal val="0"/>
          <c:showCatName val="0"/>
          <c:showSerName val="0"/>
          <c:showPercent val="0"/>
          <c:showBubbleSize val="0"/>
        </c:dLbls>
        <c:axId val="132353024"/>
        <c:axId val="133448448"/>
      </c:scatterChart>
      <c:valAx>
        <c:axId val="1323530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3448448"/>
        <c:crosses val="autoZero"/>
        <c:crossBetween val="midCat"/>
      </c:valAx>
      <c:valAx>
        <c:axId val="1334484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235302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layout>
                <c:manualLayout>
                  <c:x val="-0.53307700682983716"/>
                  <c:y val="9.7792583616147181E-3"/>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(Data!$E$1,Data!$F$1,Data!$G$1,Data!$H$1)</c:f>
              <c:numCache>
                <c:formatCode>General</c:formatCode>
                <c:ptCount val="4"/>
                <c:pt idx="0">
                  <c:v>2016</c:v>
                </c:pt>
                <c:pt idx="1">
                  <c:v>2020</c:v>
                </c:pt>
                <c:pt idx="2">
                  <c:v>2025</c:v>
                </c:pt>
                <c:pt idx="3">
                  <c:v>2030</c:v>
                </c:pt>
              </c:numCache>
            </c:numRef>
          </c:xVal>
          <c:yVal>
            <c:numRef>
              <c:f>(Data!$E$5,Data!$F$5,Data!$G$5,Data!$H$5)</c:f>
              <c:numCache>
                <c:formatCode>General</c:formatCode>
                <c:ptCount val="4"/>
                <c:pt idx="0">
                  <c:v>84</c:v>
                </c:pt>
                <c:pt idx="1">
                  <c:v>85</c:v>
                </c:pt>
                <c:pt idx="2">
                  <c:v>86</c:v>
                </c:pt>
                <c:pt idx="3">
                  <c:v>87</c:v>
                </c:pt>
              </c:numCache>
            </c:numRef>
          </c:yVal>
          <c:smooth val="1"/>
          <c:extLst>
            <c:ext xmlns:c16="http://schemas.microsoft.com/office/drawing/2014/chart" uri="{C3380CC4-5D6E-409C-BE32-E72D297353CC}">
              <c16:uniqueId val="{00000000-E56A-431C-A4E0-E31219DB54A8}"/>
            </c:ext>
          </c:extLst>
        </c:ser>
        <c:dLbls>
          <c:showLegendKey val="0"/>
          <c:showVal val="0"/>
          <c:showCatName val="0"/>
          <c:showSerName val="0"/>
          <c:showPercent val="0"/>
          <c:showBubbleSize val="0"/>
        </c:dLbls>
        <c:axId val="109646592"/>
        <c:axId val="109648128"/>
      </c:scatterChart>
      <c:valAx>
        <c:axId val="1096465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648128"/>
        <c:crosses val="autoZero"/>
        <c:crossBetween val="midCat"/>
      </c:valAx>
      <c:valAx>
        <c:axId val="109648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64659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layout>
                <c:manualLayout>
                  <c:x val="-0.37954490247349448"/>
                  <c:y val="3.4204016551993031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(Data!$E$1,Data!$F$1,Data!$G$1,Data!$H$1)</c:f>
              <c:numCache>
                <c:formatCode>General</c:formatCode>
                <c:ptCount val="4"/>
                <c:pt idx="0">
                  <c:v>2016</c:v>
                </c:pt>
                <c:pt idx="1">
                  <c:v>2020</c:v>
                </c:pt>
                <c:pt idx="2">
                  <c:v>2025</c:v>
                </c:pt>
                <c:pt idx="3">
                  <c:v>2030</c:v>
                </c:pt>
              </c:numCache>
            </c:numRef>
          </c:xVal>
          <c:yVal>
            <c:numRef>
              <c:f>(Data!$E$8,Data!$F$8,Data!$G$8,Data!$H$8)</c:f>
              <c:numCache>
                <c:formatCode>General</c:formatCode>
                <c:ptCount val="4"/>
                <c:pt idx="0">
                  <c:v>60</c:v>
                </c:pt>
                <c:pt idx="1">
                  <c:v>53</c:v>
                </c:pt>
                <c:pt idx="2">
                  <c:v>45.6</c:v>
                </c:pt>
                <c:pt idx="3">
                  <c:v>39</c:v>
                </c:pt>
              </c:numCache>
            </c:numRef>
          </c:yVal>
          <c:smooth val="1"/>
          <c:extLst>
            <c:ext xmlns:c16="http://schemas.microsoft.com/office/drawing/2014/chart" uri="{C3380CC4-5D6E-409C-BE32-E72D297353CC}">
              <c16:uniqueId val="{00000000-D04E-4E64-9FF1-203E670A55F7}"/>
            </c:ext>
          </c:extLst>
        </c:ser>
        <c:dLbls>
          <c:showLegendKey val="0"/>
          <c:showVal val="0"/>
          <c:showCatName val="0"/>
          <c:showSerName val="0"/>
          <c:showPercent val="0"/>
          <c:showBubbleSize val="0"/>
        </c:dLbls>
        <c:axId val="109674496"/>
        <c:axId val="109676032"/>
      </c:scatterChart>
      <c:valAx>
        <c:axId val="1096744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676032"/>
        <c:crosses val="autoZero"/>
        <c:crossBetween val="midCat"/>
      </c:valAx>
      <c:valAx>
        <c:axId val="109676032"/>
        <c:scaling>
          <c:orientation val="minMax"/>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6744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layout>
                <c:manualLayout>
                  <c:x val="-0.16854067360907349"/>
                  <c:y val="0.60596315310329085"/>
                </c:manualLayout>
              </c:layout>
              <c:numFmt formatCode="#,##0.00000000000000000000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trendline>
            <c:spPr>
              <a:ln w="19050" cap="rnd">
                <a:solidFill>
                  <a:schemeClr val="accent1"/>
                </a:solidFill>
                <a:prstDash val="sysDot"/>
              </a:ln>
              <a:effectLst/>
            </c:spPr>
            <c:trendlineType val="linear"/>
            <c:dispRSqr val="0"/>
            <c:dispEq val="0"/>
          </c:trendline>
          <c:xVal>
            <c:numRef>
              <c:f>(Data!$E$1,Data!$F$1,Data!$G$1,Data!$H$1)</c:f>
              <c:numCache>
                <c:formatCode>General</c:formatCode>
                <c:ptCount val="4"/>
                <c:pt idx="0">
                  <c:v>2016</c:v>
                </c:pt>
                <c:pt idx="1">
                  <c:v>2020</c:v>
                </c:pt>
                <c:pt idx="2">
                  <c:v>2025</c:v>
                </c:pt>
                <c:pt idx="3">
                  <c:v>2030</c:v>
                </c:pt>
              </c:numCache>
            </c:numRef>
          </c:xVal>
          <c:yVal>
            <c:numRef>
              <c:f>(Data!$E$11,Data!$F$11,Data!$G$11,Data!$H$11)</c:f>
              <c:numCache>
                <c:formatCode>General</c:formatCode>
                <c:ptCount val="4"/>
                <c:pt idx="0">
                  <c:v>20</c:v>
                </c:pt>
                <c:pt idx="1">
                  <c:v>22.5</c:v>
                </c:pt>
                <c:pt idx="2">
                  <c:v>26.1</c:v>
                </c:pt>
                <c:pt idx="3">
                  <c:v>30.3</c:v>
                </c:pt>
              </c:numCache>
            </c:numRef>
          </c:yVal>
          <c:smooth val="1"/>
          <c:extLst>
            <c:ext xmlns:c16="http://schemas.microsoft.com/office/drawing/2014/chart" uri="{C3380CC4-5D6E-409C-BE32-E72D297353CC}">
              <c16:uniqueId val="{00000000-44B0-4FDF-8913-C8541F205F79}"/>
            </c:ext>
          </c:extLst>
        </c:ser>
        <c:dLbls>
          <c:showLegendKey val="0"/>
          <c:showVal val="0"/>
          <c:showCatName val="0"/>
          <c:showSerName val="0"/>
          <c:showPercent val="0"/>
          <c:showBubbleSize val="0"/>
        </c:dLbls>
        <c:axId val="109854720"/>
        <c:axId val="109856256"/>
      </c:scatterChart>
      <c:valAx>
        <c:axId val="109854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856256"/>
        <c:crosses val="autoZero"/>
        <c:crossBetween val="midCat"/>
      </c:valAx>
      <c:valAx>
        <c:axId val="109856256"/>
        <c:scaling>
          <c:orientation val="minMax"/>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85472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layout>
                <c:manualLayout>
                  <c:x val="3.3403297181884783E-2"/>
                  <c:y val="9.1137742763283666E-2"/>
                </c:manualLayout>
              </c:layout>
              <c:numFmt formatCode="#,##0.00000000000000000000000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(Data!$E$1,Data!$F$1,Data!$G$1,Data!$H$1)</c:f>
              <c:numCache>
                <c:formatCode>General</c:formatCode>
                <c:ptCount val="4"/>
                <c:pt idx="0">
                  <c:v>2016</c:v>
                </c:pt>
                <c:pt idx="1">
                  <c:v>2020</c:v>
                </c:pt>
                <c:pt idx="2">
                  <c:v>2025</c:v>
                </c:pt>
                <c:pt idx="3">
                  <c:v>2030</c:v>
                </c:pt>
              </c:numCache>
            </c:numRef>
          </c:xVal>
          <c:yVal>
            <c:numRef>
              <c:f>(Data!$E$16,Data!$F$16,Data!$G$16,Data!$H$16)</c:f>
              <c:numCache>
                <c:formatCode>0.00</c:formatCode>
                <c:ptCount val="4"/>
                <c:pt idx="0">
                  <c:v>3</c:v>
                </c:pt>
                <c:pt idx="1">
                  <c:v>2.6549999999999998</c:v>
                </c:pt>
                <c:pt idx="2">
                  <c:v>2.2799999999999998</c:v>
                </c:pt>
                <c:pt idx="3">
                  <c:v>1.958</c:v>
                </c:pt>
              </c:numCache>
            </c:numRef>
          </c:yVal>
          <c:smooth val="1"/>
          <c:extLst>
            <c:ext xmlns:c16="http://schemas.microsoft.com/office/drawing/2014/chart" uri="{C3380CC4-5D6E-409C-BE32-E72D297353CC}">
              <c16:uniqueId val="{00000000-8FA1-4A29-98EC-362EE6254C06}"/>
            </c:ext>
          </c:extLst>
        </c:ser>
        <c:dLbls>
          <c:showLegendKey val="0"/>
          <c:showVal val="0"/>
          <c:showCatName val="0"/>
          <c:showSerName val="0"/>
          <c:showPercent val="0"/>
          <c:showBubbleSize val="0"/>
        </c:dLbls>
        <c:axId val="109874176"/>
        <c:axId val="109884160"/>
      </c:scatterChart>
      <c:valAx>
        <c:axId val="109874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884160"/>
        <c:crosses val="autoZero"/>
        <c:crossBetween val="midCat"/>
      </c:valAx>
      <c:valAx>
        <c:axId val="109884160"/>
        <c:scaling>
          <c:orientation val="minMax"/>
          <c:min val="1.5"/>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87417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layout>
                <c:manualLayout>
                  <c:x val="2.0188480255108537E-2"/>
                  <c:y val="7.9740181690392181E-2"/>
                </c:manualLayout>
              </c:layout>
              <c:numFmt formatCode="#,##0.00000000000000000000000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(Data!$E$1,Data!$F$1,Data!$G$1,Data!$H$1)</c:f>
              <c:numCache>
                <c:formatCode>General</c:formatCode>
                <c:ptCount val="4"/>
                <c:pt idx="0">
                  <c:v>2016</c:v>
                </c:pt>
                <c:pt idx="1">
                  <c:v>2020</c:v>
                </c:pt>
                <c:pt idx="2">
                  <c:v>2025</c:v>
                </c:pt>
                <c:pt idx="3">
                  <c:v>2030</c:v>
                </c:pt>
              </c:numCache>
            </c:numRef>
          </c:xVal>
          <c:yVal>
            <c:numRef>
              <c:f>(Data!$E$17,Data!$F$17,Data!$G$17,Data!$H$17)</c:f>
              <c:numCache>
                <c:formatCode>0.00</c:formatCode>
                <c:ptCount val="4"/>
                <c:pt idx="0">
                  <c:v>0.3</c:v>
                </c:pt>
                <c:pt idx="1">
                  <c:v>0.26500000000000001</c:v>
                </c:pt>
                <c:pt idx="2">
                  <c:v>0.22800000000000001</c:v>
                </c:pt>
                <c:pt idx="3">
                  <c:v>0.19500000000000001</c:v>
                </c:pt>
              </c:numCache>
            </c:numRef>
          </c:yVal>
          <c:smooth val="1"/>
          <c:extLst>
            <c:ext xmlns:c16="http://schemas.microsoft.com/office/drawing/2014/chart" uri="{C3380CC4-5D6E-409C-BE32-E72D297353CC}">
              <c16:uniqueId val="{00000000-8A76-4DC4-ABFA-47F7B61FEDB6}"/>
            </c:ext>
          </c:extLst>
        </c:ser>
        <c:dLbls>
          <c:showLegendKey val="0"/>
          <c:showVal val="0"/>
          <c:showCatName val="0"/>
          <c:showSerName val="0"/>
          <c:showPercent val="0"/>
          <c:showBubbleSize val="0"/>
        </c:dLbls>
        <c:axId val="118077696"/>
        <c:axId val="118079488"/>
      </c:scatterChart>
      <c:valAx>
        <c:axId val="1180776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8079488"/>
        <c:crosses val="autoZero"/>
        <c:crossBetween val="midCat"/>
      </c:valAx>
      <c:valAx>
        <c:axId val="118079488"/>
        <c:scaling>
          <c:orientation val="minMax"/>
          <c:min val="0.1500000000000000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80776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layout>
                <c:manualLayout>
                  <c:x val="-6.2946472234986256E-2"/>
                  <c:y val="0.59612621172084024"/>
                </c:manualLayout>
              </c:layout>
              <c:numFmt formatCode="#,##0.00000000000000000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(Data!$E$1,Data!$F$1,Data!$G$1,Data!$H$1)</c:f>
              <c:numCache>
                <c:formatCode>General</c:formatCode>
                <c:ptCount val="4"/>
                <c:pt idx="0">
                  <c:v>2016</c:v>
                </c:pt>
                <c:pt idx="1">
                  <c:v>2020</c:v>
                </c:pt>
                <c:pt idx="2">
                  <c:v>2025</c:v>
                </c:pt>
                <c:pt idx="3">
                  <c:v>2030</c:v>
                </c:pt>
              </c:numCache>
            </c:numRef>
          </c:xVal>
          <c:yVal>
            <c:numRef>
              <c:f>(Data!$E$23,Data!$F$23,Data!$G$23,Data!$H$23)</c:f>
              <c:numCache>
                <c:formatCode>#,##0</c:formatCode>
                <c:ptCount val="4"/>
                <c:pt idx="0">
                  <c:v>200000</c:v>
                </c:pt>
                <c:pt idx="1">
                  <c:v>225101</c:v>
                </c:pt>
                <c:pt idx="2">
                  <c:v>260954</c:v>
                </c:pt>
                <c:pt idx="3">
                  <c:v>302517</c:v>
                </c:pt>
              </c:numCache>
            </c:numRef>
          </c:yVal>
          <c:smooth val="1"/>
          <c:extLst>
            <c:ext xmlns:c16="http://schemas.microsoft.com/office/drawing/2014/chart" uri="{C3380CC4-5D6E-409C-BE32-E72D297353CC}">
              <c16:uniqueId val="{00000000-EBBB-4A44-976A-494E5F5650F2}"/>
            </c:ext>
          </c:extLst>
        </c:ser>
        <c:dLbls>
          <c:showLegendKey val="0"/>
          <c:showVal val="0"/>
          <c:showCatName val="0"/>
          <c:showSerName val="0"/>
          <c:showPercent val="0"/>
          <c:showBubbleSize val="0"/>
        </c:dLbls>
        <c:axId val="118121984"/>
        <c:axId val="118123520"/>
      </c:scatterChart>
      <c:valAx>
        <c:axId val="118121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8123520"/>
        <c:crosses val="autoZero"/>
        <c:crossBetween val="midCat"/>
      </c:valAx>
      <c:valAx>
        <c:axId val="118123520"/>
        <c:scaling>
          <c:orientation val="minMax"/>
          <c:min val="15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81219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70"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21"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21"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121"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zoomScale="121"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121"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12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8654143" cy="6272893"/>
    <xdr:graphicFrame macro="">
      <xdr:nvGraphicFramePr>
        <xdr:cNvPr id="2" name="Gráfico 1">
          <a:extLst>
            <a:ext uri="{FF2B5EF4-FFF2-40B4-BE49-F238E27FC236}">
              <a16:creationId xmlns:a16="http://schemas.microsoft.com/office/drawing/2014/main" id="{8BFEAD8B-BD50-4212-8B88-C239D2B690F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865F359A-AF6B-4DAE-BEA3-7E664037B29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2FF2C1CF-8613-4680-AFDF-16AB5811F71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ADF197FF-A058-44CE-BC88-32BB0AD979E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BB270B98-17D8-4C96-BFDF-D77B62AA6F4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34AAD809-8311-4B0D-A0F0-A37E28805A2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D9A8A5C2-FCA1-4623-85AE-F466D019386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s.dk/0110_2014%20teknologikatalog%20opdat/Fase%203/PV%20HURTIG%20JAN2017/oktober%202017/Copy%20of%2020-23_electricity_generation_-_non-thermal_processes_solar%20PV%20_%20data%20sheet%20rin%2011ok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PROY%20ALM%20ENE/DS%20REF/MX%20TC%20Data%20Sheets%20Draft1_Ver_191127a%20SPI%20(Autoguard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PC\Desktop\COOP%20DANESA\Catalogue\MX%20TC%20Data%20Sheets%20-%20final%20draft_revis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Photovoltaics  LARGE Old"/>
      <sheetName val="arbejds ark LARGE New"/>
      <sheetName val="22 Photovoltaics  SMALL old "/>
      <sheetName val="fra leverandører"/>
      <sheetName val="22 Photovoltaics  LARGE new"/>
    </sheetNames>
    <sheetDataSet>
      <sheetData sheetId="0">
        <row r="2">
          <cell r="N2">
            <v>0.98501248959200671</v>
          </cell>
        </row>
      </sheetData>
      <sheetData sheetId="1">
        <row r="33">
          <cell r="K33">
            <v>1.0720000000000001</v>
          </cell>
        </row>
        <row r="67">
          <cell r="S67">
            <v>0.97574759572313619</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S"/>
      <sheetName val="Li-Ion Battery"/>
      <sheetName val="Lead acid battery"/>
      <sheetName val="Na-S Battery"/>
      <sheetName val="VR Flow Battery"/>
      <sheetName val="CAES"/>
      <sheetName val="Molten Salt"/>
      <sheetName val="Supercapacitors"/>
      <sheetName val="Flywheels"/>
    </sheetNames>
    <sheetDataSet>
      <sheetData sheetId="0" refreshError="1"/>
      <sheetData sheetId="1"/>
      <sheetData sheetId="2"/>
      <sheetData sheetId="3"/>
      <sheetData sheetId="4" refreshError="1"/>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 Pump Hydro Storage"/>
      <sheetName val="PHS - Datos revisión"/>
      <sheetName val="03 Lithium Ion Battery"/>
      <sheetName val="04 Lead-Acid Battery"/>
      <sheetName val="Lead Acid - Datos revisión."/>
      <sheetName val="05 Na-S Battery"/>
      <sheetName val="Na-S - Datos revision"/>
      <sheetName val="06 Vanadium Redox Flow Battery"/>
      <sheetName val="07 Molten Salt Storage 2f"/>
      <sheetName val="Molten Salt -Datos revisión "/>
      <sheetName val="08 CAES"/>
      <sheetName val="09 Supercapacitors"/>
      <sheetName val="Supercapacit - Datos recientes"/>
      <sheetName val="10 Flywheels"/>
      <sheetName val="Flywheels - Datos recientes"/>
      <sheetName val="VR Flow - Datos revision"/>
      <sheetName val="CAES -Datos reci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AE80"/>
  <sheetViews>
    <sheetView showGridLines="0" tabSelected="1" zoomScale="80" zoomScaleNormal="80" workbookViewId="0">
      <selection activeCell="A4" sqref="A4"/>
    </sheetView>
  </sheetViews>
  <sheetFormatPr baseColWidth="10" defaultColWidth="9.140625" defaultRowHeight="18" x14ac:dyDescent="0.35"/>
  <cols>
    <col min="1" max="1" width="102.7109375" style="1" customWidth="1"/>
    <col min="2" max="2" width="51.28515625" style="1" hidden="1" customWidth="1"/>
    <col min="3" max="3" width="2.7109375" style="1" customWidth="1"/>
    <col min="4" max="10" width="10.7109375" style="1" customWidth="1"/>
    <col min="11" max="16384" width="9.140625" style="1"/>
  </cols>
  <sheetData>
    <row r="1" spans="1:31" ht="18.75" thickBot="1" x14ac:dyDescent="0.4">
      <c r="C1" s="2"/>
    </row>
    <row r="2" spans="1:31" ht="20.100000000000001" customHeight="1" x14ac:dyDescent="0.35">
      <c r="A2" s="117" t="s">
        <v>121</v>
      </c>
      <c r="B2" s="79" t="s">
        <v>0</v>
      </c>
      <c r="D2" s="100" t="s">
        <v>146</v>
      </c>
      <c r="E2" s="100"/>
      <c r="F2" s="100"/>
      <c r="G2" s="100"/>
      <c r="H2" s="100"/>
      <c r="I2" s="100"/>
      <c r="J2" s="100"/>
      <c r="K2" s="100"/>
      <c r="L2" s="100"/>
      <c r="M2" s="3"/>
      <c r="N2" s="4"/>
    </row>
    <row r="3" spans="1:31" ht="26.25" customHeight="1" x14ac:dyDescent="0.35">
      <c r="A3" s="118"/>
      <c r="B3" s="97"/>
      <c r="D3" s="98">
        <v>2020</v>
      </c>
      <c r="E3" s="98">
        <v>2030</v>
      </c>
      <c r="F3" s="98">
        <v>2050</v>
      </c>
      <c r="G3" s="100" t="s">
        <v>147</v>
      </c>
      <c r="H3" s="100"/>
      <c r="I3" s="100" t="s">
        <v>148</v>
      </c>
      <c r="J3" s="100"/>
      <c r="K3" s="98" t="s">
        <v>151</v>
      </c>
      <c r="L3" s="98" t="s">
        <v>1</v>
      </c>
      <c r="M3" s="92"/>
      <c r="N3" s="5"/>
    </row>
    <row r="4" spans="1:31" ht="20.100000000000001" customHeight="1" x14ac:dyDescent="0.35">
      <c r="A4" s="119" t="s">
        <v>122</v>
      </c>
      <c r="B4" s="80" t="s">
        <v>2</v>
      </c>
      <c r="D4" s="68"/>
      <c r="E4" s="68"/>
      <c r="F4" s="68"/>
      <c r="G4" s="98" t="s">
        <v>149</v>
      </c>
      <c r="H4" s="98" t="s">
        <v>150</v>
      </c>
      <c r="I4" s="98" t="s">
        <v>149</v>
      </c>
      <c r="J4" s="98" t="s">
        <v>150</v>
      </c>
      <c r="K4" s="68"/>
      <c r="L4" s="68"/>
      <c r="M4" s="7"/>
      <c r="N4" s="4"/>
    </row>
    <row r="5" spans="1:31" ht="20.100000000000001" customHeight="1" x14ac:dyDescent="0.35">
      <c r="A5" s="84" t="s">
        <v>123</v>
      </c>
      <c r="B5" s="97" t="s">
        <v>3</v>
      </c>
      <c r="D5" s="114" t="s">
        <v>221</v>
      </c>
      <c r="E5" s="115"/>
      <c r="F5" s="116"/>
      <c r="G5" s="69"/>
      <c r="H5" s="69"/>
      <c r="I5" s="69"/>
      <c r="J5" s="69"/>
      <c r="K5" s="69"/>
      <c r="L5" s="69"/>
      <c r="M5" s="8"/>
      <c r="N5" s="4"/>
    </row>
    <row r="6" spans="1:31" ht="20.100000000000001" customHeight="1" x14ac:dyDescent="0.35">
      <c r="A6" s="85" t="s">
        <v>124</v>
      </c>
      <c r="B6" s="97" t="s">
        <v>4</v>
      </c>
      <c r="D6" s="114" t="s">
        <v>152</v>
      </c>
      <c r="E6" s="115"/>
      <c r="F6" s="116"/>
      <c r="G6" s="69"/>
      <c r="H6" s="69"/>
      <c r="I6" s="69"/>
      <c r="J6" s="69"/>
      <c r="K6" s="69"/>
      <c r="L6" s="69"/>
      <c r="M6" s="8"/>
      <c r="N6" s="4"/>
    </row>
    <row r="7" spans="1:31" ht="20.100000000000001" customHeight="1" x14ac:dyDescent="0.35">
      <c r="A7" s="85" t="s">
        <v>125</v>
      </c>
      <c r="B7" s="81" t="s">
        <v>5</v>
      </c>
      <c r="D7" s="70">
        <f xml:space="preserve"> 6650/1000</f>
        <v>6.65</v>
      </c>
      <c r="E7" s="70">
        <f xml:space="preserve"> 6650/1000</f>
        <v>6.65</v>
      </c>
      <c r="F7" s="70">
        <f>Data!I2</f>
        <v>6.65</v>
      </c>
      <c r="G7" s="70">
        <f xml:space="preserve"> 6650/1000</f>
        <v>6.65</v>
      </c>
      <c r="H7" s="70">
        <f xml:space="preserve"> 6650/1000</f>
        <v>6.65</v>
      </c>
      <c r="I7" s="70">
        <f xml:space="preserve"> 6650/1000</f>
        <v>6.65</v>
      </c>
      <c r="J7" s="70">
        <f xml:space="preserve"> 6650/1000</f>
        <v>6.65</v>
      </c>
      <c r="K7" s="69" t="s">
        <v>31</v>
      </c>
      <c r="L7" s="69" t="s">
        <v>10</v>
      </c>
      <c r="M7" s="8"/>
      <c r="N7" s="6"/>
    </row>
    <row r="8" spans="1:31" ht="20.100000000000001" customHeight="1" x14ac:dyDescent="0.35">
      <c r="A8" s="85" t="s">
        <v>126</v>
      </c>
      <c r="B8" s="81" t="s">
        <v>7</v>
      </c>
      <c r="D8" s="70">
        <f xml:space="preserve"> 5000/1000</f>
        <v>5</v>
      </c>
      <c r="E8" s="70">
        <f xml:space="preserve"> 5000/1000</f>
        <v>5</v>
      </c>
      <c r="F8" s="70">
        <f>Data!I3</f>
        <v>5</v>
      </c>
      <c r="G8" s="70">
        <f t="shared" ref="G8:J9" si="0" xml:space="preserve"> 5000/1000</f>
        <v>5</v>
      </c>
      <c r="H8" s="70">
        <f t="shared" si="0"/>
        <v>5</v>
      </c>
      <c r="I8" s="70">
        <f t="shared" si="0"/>
        <v>5</v>
      </c>
      <c r="J8" s="70">
        <f t="shared" si="0"/>
        <v>5</v>
      </c>
      <c r="K8" s="69" t="s">
        <v>31</v>
      </c>
      <c r="L8" s="69" t="s">
        <v>10</v>
      </c>
      <c r="M8" s="8"/>
      <c r="N8" s="9"/>
    </row>
    <row r="9" spans="1:31" ht="20.100000000000001" customHeight="1" x14ac:dyDescent="0.35">
      <c r="A9" s="85" t="s">
        <v>127</v>
      </c>
      <c r="B9" s="81" t="s">
        <v>8</v>
      </c>
      <c r="D9" s="70">
        <f xml:space="preserve"> 5000/1000</f>
        <v>5</v>
      </c>
      <c r="E9" s="70">
        <f xml:space="preserve"> 5000/1000</f>
        <v>5</v>
      </c>
      <c r="F9" s="70">
        <f>Data!I4</f>
        <v>5</v>
      </c>
      <c r="G9" s="70">
        <f t="shared" si="0"/>
        <v>5</v>
      </c>
      <c r="H9" s="70">
        <f t="shared" si="0"/>
        <v>5</v>
      </c>
      <c r="I9" s="70">
        <f t="shared" si="0"/>
        <v>5</v>
      </c>
      <c r="J9" s="70">
        <f t="shared" si="0"/>
        <v>5</v>
      </c>
      <c r="K9" s="69" t="s">
        <v>31</v>
      </c>
      <c r="L9" s="69" t="s">
        <v>10</v>
      </c>
      <c r="M9" s="8"/>
      <c r="N9" s="6"/>
    </row>
    <row r="10" spans="1:31" ht="20.100000000000001" customHeight="1" x14ac:dyDescent="0.35">
      <c r="A10" s="85" t="s">
        <v>195</v>
      </c>
      <c r="B10" s="81" t="s">
        <v>9</v>
      </c>
      <c r="D10" s="71">
        <v>85</v>
      </c>
      <c r="E10" s="71">
        <v>87</v>
      </c>
      <c r="F10" s="71">
        <f>Data!I5</f>
        <v>91.405395278373746</v>
      </c>
      <c r="G10" s="71">
        <v>71</v>
      </c>
      <c r="H10" s="71">
        <v>99</v>
      </c>
      <c r="I10" s="71">
        <v>73</v>
      </c>
      <c r="J10" s="71">
        <v>99</v>
      </c>
      <c r="K10" s="69" t="s">
        <v>31</v>
      </c>
      <c r="L10" s="69" t="s">
        <v>10</v>
      </c>
      <c r="M10" s="8"/>
      <c r="N10" s="4"/>
    </row>
    <row r="11" spans="1:31" ht="20.100000000000001" customHeight="1" x14ac:dyDescent="0.35">
      <c r="A11" s="86" t="s">
        <v>222</v>
      </c>
      <c r="B11" s="81" t="s">
        <v>98</v>
      </c>
      <c r="D11" s="72">
        <f t="shared" ref="D11:F11" si="1">POWER(D10/100,0.5)*100</f>
        <v>92.195444572928878</v>
      </c>
      <c r="E11" s="72">
        <f t="shared" si="1"/>
        <v>93.273790530888149</v>
      </c>
      <c r="F11" s="72">
        <f t="shared" si="1"/>
        <v>95.606168879614543</v>
      </c>
      <c r="G11" s="72">
        <f>POWER(G10/100,0.5)*100</f>
        <v>84.261497731763583</v>
      </c>
      <c r="H11" s="72">
        <f t="shared" ref="H11:J11" si="2">POWER(H10/100,0.5)*100</f>
        <v>99.498743710661998</v>
      </c>
      <c r="I11" s="72">
        <f t="shared" si="2"/>
        <v>85.440037453175307</v>
      </c>
      <c r="J11" s="72">
        <f t="shared" si="2"/>
        <v>99.498743710661998</v>
      </c>
      <c r="K11" s="69" t="s">
        <v>35</v>
      </c>
      <c r="L11" s="69"/>
      <c r="M11" s="8"/>
      <c r="N11" s="6"/>
    </row>
    <row r="12" spans="1:31" ht="20.100000000000001" customHeight="1" x14ac:dyDescent="0.35">
      <c r="A12" s="86" t="s">
        <v>223</v>
      </c>
      <c r="B12" s="81" t="s">
        <v>11</v>
      </c>
      <c r="D12" s="72">
        <f>D11</f>
        <v>92.195444572928878</v>
      </c>
      <c r="E12" s="72">
        <f t="shared" ref="E12:F12" si="3">E11</f>
        <v>93.273790530888149</v>
      </c>
      <c r="F12" s="72">
        <f t="shared" si="3"/>
        <v>95.606168879614543</v>
      </c>
      <c r="G12" s="72">
        <f>G11</f>
        <v>84.261497731763583</v>
      </c>
      <c r="H12" s="72">
        <f t="shared" ref="H12:J12" si="4">H11</f>
        <v>99.498743710661998</v>
      </c>
      <c r="I12" s="72">
        <f t="shared" si="4"/>
        <v>85.440037453175307</v>
      </c>
      <c r="J12" s="72">
        <f t="shared" si="4"/>
        <v>99.498743710661998</v>
      </c>
      <c r="K12" s="69" t="s">
        <v>35</v>
      </c>
      <c r="L12" s="69"/>
      <c r="M12" s="8"/>
      <c r="N12" s="6"/>
    </row>
    <row r="13" spans="1:31" ht="20.100000000000001" customHeight="1" x14ac:dyDescent="0.35">
      <c r="A13" s="85" t="s">
        <v>130</v>
      </c>
      <c r="B13" s="81" t="s">
        <v>12</v>
      </c>
      <c r="D13" s="71">
        <v>53.117568599999998</v>
      </c>
      <c r="E13" s="71">
        <v>39.170176647636445</v>
      </c>
      <c r="F13" s="71">
        <f>Data!I8</f>
        <v>21.144361219252286</v>
      </c>
      <c r="G13" s="71">
        <v>15.674867188753923</v>
      </c>
      <c r="H13" s="71">
        <v>78.374335943769609</v>
      </c>
      <c r="I13" s="71">
        <v>8.5239041033724661</v>
      </c>
      <c r="J13" s="71">
        <v>42.619520516862316</v>
      </c>
      <c r="K13" s="69"/>
      <c r="L13" s="69" t="s">
        <v>26</v>
      </c>
      <c r="M13" s="8"/>
      <c r="N13" s="4"/>
      <c r="Q13" s="8"/>
      <c r="R13" s="10"/>
      <c r="S13" s="11"/>
      <c r="T13" s="11"/>
      <c r="U13" s="11"/>
      <c r="V13" s="11"/>
      <c r="W13" s="11"/>
      <c r="X13" s="11"/>
      <c r="Y13" s="11"/>
      <c r="Z13" s="11"/>
      <c r="AA13" s="11"/>
      <c r="AB13" s="11"/>
      <c r="AC13" s="11"/>
      <c r="AD13" s="11"/>
      <c r="AE13" s="12"/>
    </row>
    <row r="14" spans="1:31" ht="20.100000000000001" customHeight="1" x14ac:dyDescent="0.35">
      <c r="A14" s="85" t="s">
        <v>131</v>
      </c>
      <c r="B14" s="81" t="s">
        <v>13</v>
      </c>
      <c r="D14" s="69">
        <v>0</v>
      </c>
      <c r="E14" s="69"/>
      <c r="F14" s="69"/>
      <c r="G14" s="69"/>
      <c r="H14" s="69"/>
      <c r="I14" s="69"/>
      <c r="J14" s="69"/>
      <c r="K14" s="69"/>
      <c r="L14" s="69" t="s">
        <v>6</v>
      </c>
      <c r="M14" s="8"/>
      <c r="N14" s="4"/>
      <c r="Q14" s="8"/>
      <c r="R14" s="10"/>
      <c r="S14" s="13"/>
      <c r="T14" s="13"/>
      <c r="U14" s="13"/>
      <c r="V14" s="13"/>
      <c r="W14" s="13"/>
      <c r="X14" s="13"/>
      <c r="Y14" s="13"/>
      <c r="Z14" s="13"/>
      <c r="AA14" s="13"/>
      <c r="AB14" s="13"/>
      <c r="AC14" s="13"/>
      <c r="AD14" s="13"/>
      <c r="AE14" s="14"/>
    </row>
    <row r="15" spans="1:31" ht="20.100000000000001" customHeight="1" x14ac:dyDescent="0.35">
      <c r="A15" s="85" t="s">
        <v>132</v>
      </c>
      <c r="B15" s="81" t="s">
        <v>14</v>
      </c>
      <c r="D15" s="69">
        <v>0</v>
      </c>
      <c r="E15" s="69"/>
      <c r="F15" s="69"/>
      <c r="G15" s="69"/>
      <c r="H15" s="69"/>
      <c r="I15" s="69"/>
      <c r="J15" s="69"/>
      <c r="K15" s="69"/>
      <c r="L15" s="69" t="s">
        <v>6</v>
      </c>
      <c r="M15" s="8"/>
      <c r="N15" s="4"/>
      <c r="Q15" s="8"/>
      <c r="R15" s="4"/>
    </row>
    <row r="16" spans="1:31" ht="20.100000000000001" customHeight="1" x14ac:dyDescent="0.35">
      <c r="A16" s="85" t="s">
        <v>133</v>
      </c>
      <c r="B16" s="81" t="s">
        <v>15</v>
      </c>
      <c r="D16" s="71">
        <v>22</v>
      </c>
      <c r="E16" s="71">
        <v>30.251794497102214</v>
      </c>
      <c r="F16" s="71">
        <f>Data!I11</f>
        <v>54.729024547058621</v>
      </c>
      <c r="G16" s="71">
        <v>17</v>
      </c>
      <c r="H16" s="71">
        <v>28</v>
      </c>
      <c r="I16" s="71">
        <v>23</v>
      </c>
      <c r="J16" s="71">
        <v>38</v>
      </c>
      <c r="K16" s="69"/>
      <c r="L16" s="69" t="s">
        <v>10</v>
      </c>
      <c r="M16" s="8"/>
      <c r="N16" s="4"/>
      <c r="Q16" s="8"/>
      <c r="R16" s="4"/>
    </row>
    <row r="17" spans="1:31" ht="20.100000000000001" customHeight="1" x14ac:dyDescent="0.35">
      <c r="A17" s="85" t="s">
        <v>134</v>
      </c>
      <c r="B17" s="81" t="s">
        <v>16</v>
      </c>
      <c r="D17" s="73">
        <v>0.25</v>
      </c>
      <c r="E17" s="69">
        <f>Data!H12</f>
        <v>0.25</v>
      </c>
      <c r="F17" s="74">
        <f>Data!I12</f>
        <v>0.25</v>
      </c>
      <c r="G17" s="73">
        <v>0.25</v>
      </c>
      <c r="H17" s="73">
        <v>0.25</v>
      </c>
      <c r="I17" s="73">
        <v>0.25</v>
      </c>
      <c r="J17" s="73">
        <v>0.25</v>
      </c>
      <c r="K17" s="69"/>
      <c r="L17" s="69" t="s">
        <v>6</v>
      </c>
      <c r="M17" s="8"/>
      <c r="N17" s="4"/>
      <c r="Q17" s="102"/>
      <c r="R17" s="102"/>
    </row>
    <row r="18" spans="1:31" ht="20.100000000000001" customHeight="1" x14ac:dyDescent="0.35">
      <c r="A18" s="87" t="s">
        <v>135</v>
      </c>
      <c r="B18" s="93" t="s">
        <v>17</v>
      </c>
      <c r="D18" s="94"/>
      <c r="E18" s="94"/>
      <c r="F18" s="94"/>
      <c r="G18" s="94"/>
      <c r="H18" s="94"/>
      <c r="I18" s="94"/>
      <c r="J18" s="94"/>
      <c r="K18" s="94"/>
      <c r="L18" s="94"/>
      <c r="M18" s="101"/>
      <c r="N18" s="101"/>
      <c r="Q18" s="8"/>
      <c r="R18" s="10"/>
      <c r="S18" s="13"/>
      <c r="T18" s="13"/>
      <c r="U18" s="13"/>
      <c r="V18" s="13"/>
      <c r="W18" s="13"/>
      <c r="X18" s="13"/>
      <c r="Y18" s="13"/>
      <c r="Z18" s="13"/>
      <c r="AA18" s="13"/>
      <c r="AB18" s="13"/>
      <c r="AC18" s="13"/>
      <c r="AD18" s="13"/>
      <c r="AE18" s="14"/>
    </row>
    <row r="19" spans="1:31" ht="20.100000000000001" customHeight="1" x14ac:dyDescent="0.35">
      <c r="A19" s="85" t="s">
        <v>136</v>
      </c>
      <c r="B19" s="81" t="s">
        <v>18</v>
      </c>
      <c r="D19" s="69">
        <v>1E-3</v>
      </c>
      <c r="E19" s="69">
        <f>Data!H13</f>
        <v>1E-3</v>
      </c>
      <c r="F19" s="75">
        <f>Data!I13</f>
        <v>1E-3</v>
      </c>
      <c r="G19" s="75">
        <v>1E-3</v>
      </c>
      <c r="H19" s="75">
        <v>1E-3</v>
      </c>
      <c r="I19" s="75">
        <v>1E-3</v>
      </c>
      <c r="J19" s="75">
        <v>1E-3</v>
      </c>
      <c r="K19" s="69"/>
      <c r="L19" s="69" t="s">
        <v>26</v>
      </c>
      <c r="M19" s="99"/>
      <c r="N19" s="4"/>
      <c r="Q19" s="8"/>
      <c r="R19" s="10"/>
      <c r="S19" s="13"/>
      <c r="T19" s="13"/>
      <c r="U19" s="13"/>
      <c r="V19" s="13"/>
      <c r="W19" s="13"/>
      <c r="X19" s="13"/>
      <c r="Y19" s="13"/>
      <c r="Z19" s="13"/>
      <c r="AA19" s="13"/>
      <c r="AB19" s="13"/>
      <c r="AC19" s="13"/>
      <c r="AD19" s="13"/>
      <c r="AE19" s="14"/>
    </row>
    <row r="20" spans="1:31" ht="20.100000000000001" customHeight="1" x14ac:dyDescent="0.35">
      <c r="A20" s="85" t="s">
        <v>137</v>
      </c>
      <c r="B20" s="81" t="s">
        <v>19</v>
      </c>
      <c r="D20" s="69">
        <v>1E-3</v>
      </c>
      <c r="E20" s="69">
        <v>1E-3</v>
      </c>
      <c r="F20" s="69">
        <v>1E-3</v>
      </c>
      <c r="G20" s="69">
        <v>1E-3</v>
      </c>
      <c r="H20" s="69">
        <v>1E-3</v>
      </c>
      <c r="I20" s="69">
        <v>1E-3</v>
      </c>
      <c r="J20" s="69">
        <v>1E-3</v>
      </c>
      <c r="K20" s="69"/>
      <c r="L20" s="69"/>
      <c r="M20" s="99"/>
      <c r="N20" s="6"/>
    </row>
    <row r="21" spans="1:31" ht="20.100000000000001" customHeight="1" x14ac:dyDescent="0.35">
      <c r="A21" s="87" t="s">
        <v>138</v>
      </c>
      <c r="B21" s="93" t="s">
        <v>20</v>
      </c>
      <c r="D21" s="94"/>
      <c r="E21" s="94"/>
      <c r="F21" s="94"/>
      <c r="G21" s="94"/>
      <c r="H21" s="94"/>
      <c r="I21" s="94"/>
      <c r="J21" s="94"/>
      <c r="K21" s="94"/>
      <c r="L21" s="94"/>
      <c r="M21" s="102"/>
      <c r="N21" s="102"/>
    </row>
    <row r="22" spans="1:31" ht="20.100000000000001" customHeight="1" x14ac:dyDescent="0.35">
      <c r="A22" s="85" t="s">
        <v>217</v>
      </c>
      <c r="B22" s="82" t="s">
        <v>45</v>
      </c>
      <c r="D22" s="74">
        <f t="shared" ref="D22:J22" si="5">((D23)*D7+D24*D8)/D7</f>
        <v>2.8555685375187969</v>
      </c>
      <c r="E22" s="74">
        <f t="shared" si="5"/>
        <v>2.105765135568423</v>
      </c>
      <c r="F22" s="74">
        <f t="shared" si="5"/>
        <v>1.1437803589534599</v>
      </c>
      <c r="G22" s="74">
        <f t="shared" si="5"/>
        <v>1.5376138278947369</v>
      </c>
      <c r="H22" s="74">
        <f t="shared" si="5"/>
        <v>6.0106722363157896</v>
      </c>
      <c r="I22" s="74">
        <f t="shared" si="5"/>
        <v>1.133873534536844</v>
      </c>
      <c r="J22" s="74">
        <f t="shared" si="5"/>
        <v>4.4324147259167521</v>
      </c>
      <c r="K22" s="75" t="s">
        <v>36</v>
      </c>
      <c r="L22" s="69" t="s">
        <v>10</v>
      </c>
    </row>
    <row r="23" spans="1:31" ht="20.100000000000001" customHeight="1" x14ac:dyDescent="0.35">
      <c r="A23" s="85" t="s">
        <v>219</v>
      </c>
      <c r="B23" s="81" t="s">
        <v>120</v>
      </c>
      <c r="D23" s="74">
        <f>2655.87843/1000</f>
        <v>2.65587843</v>
      </c>
      <c r="E23" s="74">
        <f>1958.50883238182/1000</f>
        <v>1.9585088323818201</v>
      </c>
      <c r="F23" s="74">
        <f>Data!I16</f>
        <v>1.064353538757961</v>
      </c>
      <c r="G23" s="74">
        <f>1327.939215/1000</f>
        <v>1.327939215</v>
      </c>
      <c r="H23" s="74">
        <f>5311.75686/1000</f>
        <v>5.31175686</v>
      </c>
      <c r="I23" s="74">
        <f>979.254416190911/1000</f>
        <v>0.97925441619091103</v>
      </c>
      <c r="J23" s="74">
        <f>3917.01766476364/1000</f>
        <v>3.9170176647636401</v>
      </c>
      <c r="K23" s="75" t="s">
        <v>38</v>
      </c>
      <c r="L23" s="69" t="s">
        <v>10</v>
      </c>
    </row>
    <row r="24" spans="1:31" ht="20.100000000000001" customHeight="1" x14ac:dyDescent="0.35">
      <c r="A24" s="85" t="s">
        <v>220</v>
      </c>
      <c r="B24" s="81" t="s">
        <v>46</v>
      </c>
      <c r="D24" s="74">
        <f>265.587843/1000</f>
        <v>0.26558784300000005</v>
      </c>
      <c r="E24" s="74">
        <f>195.850883238182/1000</f>
        <v>0.19585088323818201</v>
      </c>
      <c r="F24" s="74">
        <f>Data!I17</f>
        <v>0.10563767086001355</v>
      </c>
      <c r="G24" s="74">
        <f>278.86723515/1000</f>
        <v>0.27886723515</v>
      </c>
      <c r="H24" s="74">
        <f>929.5574505/1000</f>
        <v>0.92955745049999994</v>
      </c>
      <c r="I24" s="74">
        <f>205.643427400091/1000</f>
        <v>0.20564342740009101</v>
      </c>
      <c r="J24" s="74">
        <f>685.478091333638/1000</f>
        <v>0.68547809133363802</v>
      </c>
      <c r="K24" s="75" t="s">
        <v>40</v>
      </c>
      <c r="L24" s="69" t="s">
        <v>10</v>
      </c>
    </row>
    <row r="25" spans="1:31" ht="20.100000000000001" customHeight="1" x14ac:dyDescent="0.35">
      <c r="A25" s="85" t="s">
        <v>139</v>
      </c>
      <c r="B25" s="82" t="s">
        <v>51</v>
      </c>
      <c r="D25" s="70">
        <v>5.7720000000000011</v>
      </c>
      <c r="E25" s="70">
        <v>5.7720000000000011</v>
      </c>
      <c r="F25" s="70">
        <v>5.7720000000000011</v>
      </c>
      <c r="G25" s="76">
        <f>4.3*1.11</f>
        <v>4.7730000000000006</v>
      </c>
      <c r="H25" s="76">
        <f>6.66</f>
        <v>6.66</v>
      </c>
      <c r="I25" s="76">
        <f>4.3*1.11</f>
        <v>4.7730000000000006</v>
      </c>
      <c r="J25" s="76">
        <f>6.66</f>
        <v>6.66</v>
      </c>
      <c r="K25" s="75"/>
      <c r="L25" s="69" t="s">
        <v>47</v>
      </c>
    </row>
    <row r="26" spans="1:31" ht="20.100000000000001" customHeight="1" x14ac:dyDescent="0.35">
      <c r="A26" s="85" t="s">
        <v>218</v>
      </c>
      <c r="B26" s="82" t="s">
        <v>48</v>
      </c>
      <c r="D26" s="74">
        <v>2.2000000000000002</v>
      </c>
      <c r="E26" s="74">
        <v>2.2000000000000002</v>
      </c>
      <c r="F26" s="74">
        <v>2.2000000000000002</v>
      </c>
      <c r="G26" s="74">
        <v>0.22</v>
      </c>
      <c r="H26" s="74">
        <v>4.18</v>
      </c>
      <c r="I26" s="77">
        <f>G26</f>
        <v>0.22</v>
      </c>
      <c r="J26" s="77">
        <f>H26</f>
        <v>4.18</v>
      </c>
      <c r="K26" s="73"/>
      <c r="L26" s="69" t="s">
        <v>47</v>
      </c>
    </row>
    <row r="27" spans="1:31" ht="20.100000000000001" customHeight="1" x14ac:dyDescent="0.35">
      <c r="A27" s="87" t="s">
        <v>140</v>
      </c>
      <c r="B27" s="95" t="s">
        <v>21</v>
      </c>
      <c r="D27" s="96"/>
      <c r="E27" s="96"/>
      <c r="F27" s="96"/>
      <c r="G27" s="96"/>
      <c r="H27" s="96"/>
      <c r="I27" s="96"/>
      <c r="J27" s="96"/>
      <c r="K27" s="96"/>
      <c r="L27" s="96"/>
    </row>
    <row r="28" spans="1:31" ht="20.100000000000001" customHeight="1" x14ac:dyDescent="0.35">
      <c r="A28" s="85" t="s">
        <v>145</v>
      </c>
      <c r="B28" s="82" t="s">
        <v>30</v>
      </c>
      <c r="D28" s="74">
        <f t="shared" ref="D28:J28" si="6">(D23*D7+D24*D8)/D8</f>
        <v>3.7979061549000002</v>
      </c>
      <c r="E28" s="74">
        <f t="shared" si="6"/>
        <v>2.8006676303060027</v>
      </c>
      <c r="F28" s="74">
        <f t="shared" si="6"/>
        <v>1.5212278774081018</v>
      </c>
      <c r="G28" s="74">
        <f t="shared" si="6"/>
        <v>2.0450263911</v>
      </c>
      <c r="H28" s="74">
        <f t="shared" si="6"/>
        <v>7.9941940743000002</v>
      </c>
      <c r="I28" s="74">
        <f t="shared" si="6"/>
        <v>1.5080518009340027</v>
      </c>
      <c r="J28" s="74">
        <f t="shared" si="6"/>
        <v>5.8951115854692802</v>
      </c>
      <c r="K28" s="73"/>
      <c r="L28" s="69" t="s">
        <v>10</v>
      </c>
    </row>
    <row r="29" spans="1:31" ht="20.100000000000001" customHeight="1" x14ac:dyDescent="0.35">
      <c r="A29" s="85" t="s">
        <v>168</v>
      </c>
      <c r="B29" s="82" t="s">
        <v>23</v>
      </c>
      <c r="D29" s="78">
        <v>225000</v>
      </c>
      <c r="E29" s="78">
        <v>300000</v>
      </c>
      <c r="F29" s="78">
        <v>550000</v>
      </c>
      <c r="G29" s="78">
        <v>112500</v>
      </c>
      <c r="H29" s="78">
        <v>1125500</v>
      </c>
      <c r="I29" s="78">
        <v>151000</v>
      </c>
      <c r="J29" s="78">
        <v>1512500</v>
      </c>
      <c r="K29" s="73"/>
      <c r="L29" s="69" t="s">
        <v>10</v>
      </c>
      <c r="N29" s="6"/>
    </row>
    <row r="30" spans="1:31" ht="20.100000000000001" customHeight="1" x14ac:dyDescent="0.35">
      <c r="A30" s="88" t="s">
        <v>141</v>
      </c>
      <c r="B30" s="82" t="s">
        <v>24</v>
      </c>
      <c r="D30" s="73">
        <v>950</v>
      </c>
      <c r="E30" s="73">
        <v>950</v>
      </c>
      <c r="F30" s="73">
        <v>950</v>
      </c>
      <c r="G30" s="71">
        <f>$D$30+($D$30*Uncertanties!M3)</f>
        <v>814.28571428571433</v>
      </c>
      <c r="H30" s="71">
        <f>$D$30+($D$30*Uncertanties!N3)</f>
        <v>1085.7142857142858</v>
      </c>
      <c r="I30" s="71">
        <f>$E$30+($E$30*Uncertanties!O3)</f>
        <v>859.70724999999936</v>
      </c>
      <c r="J30" s="71">
        <f>$E$30+($E$30*Uncertanties!P3)</f>
        <v>1083</v>
      </c>
      <c r="K30" s="73" t="s">
        <v>42</v>
      </c>
      <c r="L30" s="73" t="s">
        <v>52</v>
      </c>
      <c r="M30" s="99"/>
    </row>
    <row r="31" spans="1:31" ht="20.100000000000001" customHeight="1" x14ac:dyDescent="0.35">
      <c r="A31" s="85" t="s">
        <v>142</v>
      </c>
      <c r="B31" s="82" t="s">
        <v>49</v>
      </c>
      <c r="D31" s="73">
        <v>1500</v>
      </c>
      <c r="E31" s="73">
        <v>1500</v>
      </c>
      <c r="F31" s="73">
        <v>1500</v>
      </c>
      <c r="G31" s="71">
        <f>$D31+($D31*Uncertanties!M4)</f>
        <v>1300</v>
      </c>
      <c r="H31" s="71">
        <f>$D31+($D31*Uncertanties!N4)</f>
        <v>2000</v>
      </c>
      <c r="I31" s="71">
        <f>$D31+($D31*Uncertanties!O4)</f>
        <v>1300</v>
      </c>
      <c r="J31" s="71">
        <f>$D31+($D31*Uncertanties!P4)</f>
        <v>2000</v>
      </c>
      <c r="K31" s="73" t="s">
        <v>42</v>
      </c>
      <c r="L31" s="73" t="s">
        <v>52</v>
      </c>
      <c r="M31" s="99"/>
    </row>
    <row r="32" spans="1:31" ht="20.100000000000001" customHeight="1" x14ac:dyDescent="0.35">
      <c r="A32" s="85" t="s">
        <v>143</v>
      </c>
      <c r="B32" s="82" t="s">
        <v>22</v>
      </c>
      <c r="D32" s="73">
        <v>15</v>
      </c>
      <c r="E32" s="73">
        <v>15</v>
      </c>
      <c r="F32" s="73">
        <v>15</v>
      </c>
      <c r="G32" s="71">
        <f>$D32+($D32*Uncertanties!M3)</f>
        <v>12.857142857142858</v>
      </c>
      <c r="H32" s="71">
        <f>$D32+($D32*Uncertanties!N3)</f>
        <v>17.142857142857142</v>
      </c>
      <c r="I32" s="71">
        <f>$D32+($D32*Uncertanties!O3)</f>
        <v>13.574324999999989</v>
      </c>
      <c r="J32" s="71">
        <f>$D32+($D32*Uncertanties!P3)</f>
        <v>17.100000000000001</v>
      </c>
      <c r="K32" s="73" t="s">
        <v>42</v>
      </c>
      <c r="L32" s="73" t="s">
        <v>52</v>
      </c>
      <c r="M32" s="99"/>
    </row>
    <row r="33" spans="1:13" ht="20.100000000000001" customHeight="1" thickBot="1" x14ac:dyDescent="0.4">
      <c r="A33" s="85" t="s">
        <v>144</v>
      </c>
      <c r="B33" s="83" t="s">
        <v>50</v>
      </c>
      <c r="D33" s="73">
        <v>50</v>
      </c>
      <c r="E33" s="73">
        <v>50</v>
      </c>
      <c r="F33" s="73">
        <v>50</v>
      </c>
      <c r="G33" s="71">
        <f>$D$33+($D$33*Uncertanties!M4)</f>
        <v>43.333333333333336</v>
      </c>
      <c r="H33" s="71">
        <f>$D$33+($D$33*Uncertanties!N4)</f>
        <v>66.666666666666657</v>
      </c>
      <c r="I33" s="71">
        <f>G33</f>
        <v>43.333333333333336</v>
      </c>
      <c r="J33" s="71">
        <f>H33</f>
        <v>66.666666666666657</v>
      </c>
      <c r="K33" s="73" t="s">
        <v>42</v>
      </c>
      <c r="L33" s="73" t="s">
        <v>52</v>
      </c>
      <c r="M33" s="99"/>
    </row>
    <row r="36" spans="1:13" x14ac:dyDescent="0.35">
      <c r="D36" s="113" t="s">
        <v>215</v>
      </c>
    </row>
    <row r="37" spans="1:13" x14ac:dyDescent="0.35">
      <c r="C37" s="15" t="s">
        <v>31</v>
      </c>
      <c r="D37" s="1" t="s">
        <v>153</v>
      </c>
    </row>
    <row r="38" spans="1:13" x14ac:dyDescent="0.35">
      <c r="C38" s="15" t="s">
        <v>35</v>
      </c>
      <c r="D38" s="1" t="s">
        <v>154</v>
      </c>
    </row>
    <row r="39" spans="1:13" x14ac:dyDescent="0.35">
      <c r="C39" s="15" t="s">
        <v>37</v>
      </c>
      <c r="D39" s="1" t="s">
        <v>157</v>
      </c>
    </row>
    <row r="40" spans="1:13" x14ac:dyDescent="0.35">
      <c r="C40" s="15" t="s">
        <v>39</v>
      </c>
      <c r="D40" s="1" t="s">
        <v>155</v>
      </c>
    </row>
    <row r="41" spans="1:13" x14ac:dyDescent="0.35">
      <c r="C41" s="15" t="s">
        <v>41</v>
      </c>
      <c r="D41" s="1" t="s">
        <v>155</v>
      </c>
    </row>
    <row r="42" spans="1:13" x14ac:dyDescent="0.35">
      <c r="C42" s="15" t="s">
        <v>42</v>
      </c>
      <c r="D42" s="1" t="s">
        <v>156</v>
      </c>
    </row>
    <row r="45" spans="1:13" x14ac:dyDescent="0.35">
      <c r="D45" s="113" t="s">
        <v>216</v>
      </c>
    </row>
    <row r="46" spans="1:13" x14ac:dyDescent="0.35">
      <c r="C46" s="15" t="s">
        <v>10</v>
      </c>
      <c r="D46" s="1" t="s">
        <v>29</v>
      </c>
    </row>
    <row r="47" spans="1:13" x14ac:dyDescent="0.35">
      <c r="C47" s="15" t="s">
        <v>6</v>
      </c>
      <c r="D47" s="16" t="s">
        <v>34</v>
      </c>
    </row>
    <row r="48" spans="1:13" x14ac:dyDescent="0.35">
      <c r="C48" s="15" t="s">
        <v>25</v>
      </c>
      <c r="D48" s="16" t="s">
        <v>27</v>
      </c>
    </row>
    <row r="49" spans="3:4" x14ac:dyDescent="0.35">
      <c r="C49" s="15" t="s">
        <v>26</v>
      </c>
      <c r="D49" s="16" t="s">
        <v>28</v>
      </c>
    </row>
    <row r="50" spans="3:4" x14ac:dyDescent="0.35">
      <c r="C50" s="15" t="s">
        <v>33</v>
      </c>
      <c r="D50" s="17" t="s">
        <v>32</v>
      </c>
    </row>
    <row r="51" spans="3:4" ht="18.75" x14ac:dyDescent="0.35">
      <c r="C51" s="15" t="s">
        <v>47</v>
      </c>
      <c r="D51" s="18" t="s">
        <v>75</v>
      </c>
    </row>
    <row r="52" spans="3:4" x14ac:dyDescent="0.35">
      <c r="C52" s="19"/>
    </row>
    <row r="53" spans="3:4" x14ac:dyDescent="0.35">
      <c r="C53" s="19"/>
    </row>
    <row r="54" spans="3:4" x14ac:dyDescent="0.35">
      <c r="C54" s="19"/>
    </row>
    <row r="55" spans="3:4" x14ac:dyDescent="0.35">
      <c r="C55" s="19"/>
    </row>
    <row r="56" spans="3:4" x14ac:dyDescent="0.35">
      <c r="C56" s="19"/>
    </row>
    <row r="57" spans="3:4" x14ac:dyDescent="0.35">
      <c r="C57" s="19"/>
    </row>
    <row r="58" spans="3:4" x14ac:dyDescent="0.35">
      <c r="C58" s="19"/>
    </row>
    <row r="59" spans="3:4" x14ac:dyDescent="0.35">
      <c r="C59" s="19"/>
    </row>
    <row r="60" spans="3:4" x14ac:dyDescent="0.35">
      <c r="C60" s="19"/>
    </row>
    <row r="61" spans="3:4" x14ac:dyDescent="0.35">
      <c r="C61" s="19"/>
    </row>
    <row r="62" spans="3:4" x14ac:dyDescent="0.35">
      <c r="C62" s="19"/>
    </row>
    <row r="63" spans="3:4" x14ac:dyDescent="0.35">
      <c r="C63" s="19"/>
    </row>
    <row r="64" spans="3:4" x14ac:dyDescent="0.35">
      <c r="C64" s="19"/>
    </row>
    <row r="65" spans="3:3" x14ac:dyDescent="0.35">
      <c r="C65" s="19"/>
    </row>
    <row r="66" spans="3:3" x14ac:dyDescent="0.35">
      <c r="C66" s="19"/>
    </row>
    <row r="67" spans="3:3" x14ac:dyDescent="0.35">
      <c r="C67" s="19"/>
    </row>
    <row r="68" spans="3:3" x14ac:dyDescent="0.35">
      <c r="C68" s="19"/>
    </row>
    <row r="69" spans="3:3" x14ac:dyDescent="0.35">
      <c r="C69" s="19"/>
    </row>
    <row r="70" spans="3:3" x14ac:dyDescent="0.35">
      <c r="C70" s="19"/>
    </row>
    <row r="71" spans="3:3" x14ac:dyDescent="0.35">
      <c r="C71" s="19"/>
    </row>
    <row r="72" spans="3:3" x14ac:dyDescent="0.35">
      <c r="C72" s="19"/>
    </row>
    <row r="73" spans="3:3" x14ac:dyDescent="0.35">
      <c r="C73" s="19"/>
    </row>
    <row r="74" spans="3:3" x14ac:dyDescent="0.35">
      <c r="C74" s="19"/>
    </row>
    <row r="75" spans="3:3" x14ac:dyDescent="0.35">
      <c r="C75" s="19"/>
    </row>
    <row r="76" spans="3:3" x14ac:dyDescent="0.35">
      <c r="C76" s="19"/>
    </row>
    <row r="77" spans="3:3" x14ac:dyDescent="0.35">
      <c r="C77" s="19"/>
    </row>
    <row r="78" spans="3:3" x14ac:dyDescent="0.35">
      <c r="C78" s="20"/>
    </row>
    <row r="79" spans="3:3" ht="21.75" x14ac:dyDescent="0.35">
      <c r="C79" s="21"/>
    </row>
    <row r="80" spans="3:3" x14ac:dyDescent="0.35">
      <c r="C80" s="6"/>
    </row>
  </sheetData>
  <mergeCells count="11">
    <mergeCell ref="Q17:R17"/>
    <mergeCell ref="M18:N18"/>
    <mergeCell ref="M19:M20"/>
    <mergeCell ref="M21:N21"/>
    <mergeCell ref="I3:J3"/>
    <mergeCell ref="G3:H3"/>
    <mergeCell ref="D5:F5"/>
    <mergeCell ref="M30:M31"/>
    <mergeCell ref="M32:M33"/>
    <mergeCell ref="D2:L2"/>
    <mergeCell ref="D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3"/>
  <sheetViews>
    <sheetView topLeftCell="A16" zoomScale="80" zoomScaleNormal="80" workbookViewId="0">
      <selection activeCell="K8" sqref="K8"/>
    </sheetView>
  </sheetViews>
  <sheetFormatPr baseColWidth="10" defaultColWidth="11.42578125" defaultRowHeight="18" x14ac:dyDescent="0.25"/>
  <cols>
    <col min="1" max="1" width="83.28515625" style="22" customWidth="1"/>
    <col min="2" max="2" width="57.140625" style="22" hidden="1" customWidth="1"/>
    <col min="3" max="3" width="3.85546875" style="40" customWidth="1"/>
    <col min="4" max="4" width="8.85546875" style="41" customWidth="1"/>
    <col min="5" max="9" width="11" style="22" customWidth="1"/>
    <col min="10" max="10" width="15.28515625" style="22" customWidth="1"/>
    <col min="11" max="11" width="64.42578125" style="52" customWidth="1"/>
    <col min="12" max="16384" width="11.42578125" style="22"/>
  </cols>
  <sheetData>
    <row r="1" spans="1:11" ht="36" x14ac:dyDescent="0.25">
      <c r="A1" s="89" t="s">
        <v>158</v>
      </c>
      <c r="B1" s="40" t="s">
        <v>43</v>
      </c>
      <c r="D1" s="41" t="s">
        <v>53</v>
      </c>
      <c r="E1" s="41">
        <v>2016</v>
      </c>
      <c r="F1" s="41">
        <v>2020</v>
      </c>
      <c r="G1" s="41">
        <v>2025</v>
      </c>
      <c r="H1" s="41">
        <v>2030</v>
      </c>
      <c r="I1" s="41">
        <v>2050</v>
      </c>
      <c r="J1" s="41" t="s">
        <v>172</v>
      </c>
      <c r="K1" s="40" t="s">
        <v>173</v>
      </c>
    </row>
    <row r="2" spans="1:11" ht="30" customHeight="1" x14ac:dyDescent="0.25">
      <c r="A2" s="90" t="s">
        <v>125</v>
      </c>
      <c r="B2" s="25" t="s">
        <v>76</v>
      </c>
      <c r="D2" s="42" t="s">
        <v>54</v>
      </c>
      <c r="E2" s="22">
        <v>6.65</v>
      </c>
      <c r="F2" s="22">
        <v>6.65</v>
      </c>
      <c r="G2" s="22">
        <v>6.65</v>
      </c>
      <c r="H2" s="22">
        <v>6.65</v>
      </c>
      <c r="I2" s="22">
        <v>6.65</v>
      </c>
      <c r="J2" s="103" t="s">
        <v>10</v>
      </c>
      <c r="K2" s="120" t="s">
        <v>174</v>
      </c>
    </row>
    <row r="3" spans="1:11" ht="30" customHeight="1" x14ac:dyDescent="0.25">
      <c r="A3" s="90" t="s">
        <v>126</v>
      </c>
      <c r="B3" s="25" t="s">
        <v>77</v>
      </c>
      <c r="D3" s="42" t="s">
        <v>55</v>
      </c>
      <c r="E3" s="22">
        <v>5</v>
      </c>
      <c r="F3" s="22">
        <v>5</v>
      </c>
      <c r="G3" s="22">
        <v>5</v>
      </c>
      <c r="H3" s="22">
        <v>5</v>
      </c>
      <c r="I3" s="22">
        <v>5</v>
      </c>
      <c r="J3" s="103"/>
      <c r="K3" s="120"/>
    </row>
    <row r="4" spans="1:11" ht="30" customHeight="1" x14ac:dyDescent="0.25">
      <c r="A4" s="90" t="s">
        <v>127</v>
      </c>
      <c r="B4" s="25" t="s">
        <v>78</v>
      </c>
      <c r="D4" s="42" t="s">
        <v>56</v>
      </c>
      <c r="E4" s="22">
        <v>5</v>
      </c>
      <c r="F4" s="22">
        <v>5</v>
      </c>
      <c r="G4" s="22">
        <v>5</v>
      </c>
      <c r="H4" s="22">
        <v>5</v>
      </c>
      <c r="I4" s="22">
        <v>5</v>
      </c>
      <c r="J4" s="103"/>
      <c r="K4" s="120"/>
    </row>
    <row r="5" spans="1:11" ht="47.25" customHeight="1" x14ac:dyDescent="0.25">
      <c r="A5" s="90" t="s">
        <v>159</v>
      </c>
      <c r="B5" s="25" t="s">
        <v>79</v>
      </c>
      <c r="D5" s="42" t="s">
        <v>57</v>
      </c>
      <c r="E5" s="22">
        <v>84</v>
      </c>
      <c r="F5" s="22">
        <v>85</v>
      </c>
      <c r="G5" s="22">
        <v>86</v>
      </c>
      <c r="H5" s="22">
        <v>87</v>
      </c>
      <c r="I5" s="43">
        <f>0.565104*EXP(0.002481*I1)</f>
        <v>91.405395278373746</v>
      </c>
      <c r="J5" s="103"/>
      <c r="K5" s="121" t="s">
        <v>175</v>
      </c>
    </row>
    <row r="6" spans="1:11" ht="30" customHeight="1" x14ac:dyDescent="0.25">
      <c r="A6" s="90" t="s">
        <v>128</v>
      </c>
      <c r="B6" s="25" t="s">
        <v>80</v>
      </c>
      <c r="D6" s="42" t="s">
        <v>58</v>
      </c>
      <c r="E6" s="44">
        <f>POWER(E5/100,0.5)*100</f>
        <v>91.651513899116793</v>
      </c>
      <c r="F6" s="44">
        <f t="shared" ref="F6:I6" si="0">POWER(F5/100,0.5)*100</f>
        <v>92.195444572928878</v>
      </c>
      <c r="G6" s="44">
        <f t="shared" si="0"/>
        <v>92.736184954957039</v>
      </c>
      <c r="H6" s="44">
        <f t="shared" si="0"/>
        <v>93.273790530888149</v>
      </c>
      <c r="I6" s="44">
        <f t="shared" si="0"/>
        <v>95.606168879614543</v>
      </c>
      <c r="J6" s="45"/>
      <c r="K6" s="120" t="s">
        <v>228</v>
      </c>
    </row>
    <row r="7" spans="1:11" ht="30" customHeight="1" x14ac:dyDescent="0.25">
      <c r="A7" s="90" t="s">
        <v>129</v>
      </c>
      <c r="B7" s="25" t="s">
        <v>81</v>
      </c>
      <c r="D7" s="42" t="s">
        <v>59</v>
      </c>
      <c r="E7" s="44">
        <f>E6</f>
        <v>91.651513899116793</v>
      </c>
      <c r="F7" s="44">
        <f t="shared" ref="F7:I7" si="1">F6</f>
        <v>92.195444572928878</v>
      </c>
      <c r="G7" s="44">
        <f t="shared" si="1"/>
        <v>92.736184954957039</v>
      </c>
      <c r="H7" s="44">
        <f t="shared" si="1"/>
        <v>93.273790530888149</v>
      </c>
      <c r="I7" s="44">
        <f t="shared" si="1"/>
        <v>95.606168879614543</v>
      </c>
      <c r="J7" s="45"/>
      <c r="K7" s="120"/>
    </row>
    <row r="8" spans="1:11" ht="66" customHeight="1" x14ac:dyDescent="0.25">
      <c r="A8" s="90" t="s">
        <v>160</v>
      </c>
      <c r="B8" s="25" t="s">
        <v>82</v>
      </c>
      <c r="D8" s="42" t="s">
        <v>60</v>
      </c>
      <c r="E8" s="22">
        <v>60</v>
      </c>
      <c r="F8" s="22">
        <v>53</v>
      </c>
      <c r="G8" s="22">
        <v>45.6</v>
      </c>
      <c r="H8" s="22">
        <v>39</v>
      </c>
      <c r="I8" s="43">
        <f>4.49848492653543E+28*EXP(-0.030695*I1)</f>
        <v>21.144361219252286</v>
      </c>
      <c r="J8" s="45" t="s">
        <v>10</v>
      </c>
      <c r="K8" s="121" t="s">
        <v>176</v>
      </c>
    </row>
    <row r="9" spans="1:11" ht="30" customHeight="1" x14ac:dyDescent="0.25">
      <c r="A9" s="90" t="s">
        <v>131</v>
      </c>
      <c r="B9" s="25" t="s">
        <v>83</v>
      </c>
      <c r="D9" s="42" t="s">
        <v>61</v>
      </c>
      <c r="E9" s="22">
        <v>0</v>
      </c>
      <c r="I9" s="46"/>
      <c r="J9" s="103" t="s">
        <v>6</v>
      </c>
      <c r="K9" s="122" t="s">
        <v>177</v>
      </c>
    </row>
    <row r="10" spans="1:11" ht="30" customHeight="1" x14ac:dyDescent="0.25">
      <c r="A10" s="90" t="s">
        <v>161</v>
      </c>
      <c r="B10" s="25" t="s">
        <v>84</v>
      </c>
      <c r="D10" s="42" t="s">
        <v>62</v>
      </c>
      <c r="E10" s="22">
        <v>0</v>
      </c>
      <c r="I10" s="46"/>
      <c r="J10" s="103"/>
      <c r="K10" s="122"/>
    </row>
    <row r="11" spans="1:11" ht="72" customHeight="1" x14ac:dyDescent="0.25">
      <c r="A11" s="90" t="s">
        <v>133</v>
      </c>
      <c r="B11" s="25" t="s">
        <v>85</v>
      </c>
      <c r="D11" s="42" t="s">
        <v>63</v>
      </c>
      <c r="E11" s="22">
        <v>20</v>
      </c>
      <c r="F11" s="22">
        <v>22.5</v>
      </c>
      <c r="G11" s="22">
        <v>26.1</v>
      </c>
      <c r="H11" s="22">
        <v>30.3</v>
      </c>
      <c r="I11" s="44">
        <f>2.07E-25*EXP(0.0296777916583259*I1)</f>
        <v>54.729024547058621</v>
      </c>
      <c r="J11" s="45" t="s">
        <v>10</v>
      </c>
      <c r="K11" s="121" t="s">
        <v>178</v>
      </c>
    </row>
    <row r="12" spans="1:11" ht="60" customHeight="1" x14ac:dyDescent="0.25">
      <c r="A12" s="90" t="s">
        <v>134</v>
      </c>
      <c r="B12" s="25" t="s">
        <v>86</v>
      </c>
      <c r="D12" s="42" t="s">
        <v>64</v>
      </c>
      <c r="E12" s="22">
        <v>0.25</v>
      </c>
      <c r="F12" s="22">
        <v>0.25</v>
      </c>
      <c r="G12" s="22">
        <v>0.25</v>
      </c>
      <c r="H12" s="22">
        <v>0.25</v>
      </c>
      <c r="I12" s="46">
        <v>0.25</v>
      </c>
      <c r="J12" s="45" t="s">
        <v>6</v>
      </c>
      <c r="K12" s="121" t="s">
        <v>179</v>
      </c>
    </row>
    <row r="13" spans="1:11" ht="60" customHeight="1" x14ac:dyDescent="0.25">
      <c r="A13" s="90" t="s">
        <v>162</v>
      </c>
      <c r="B13" s="25" t="s">
        <v>87</v>
      </c>
      <c r="D13" s="42" t="s">
        <v>65</v>
      </c>
      <c r="E13" s="22">
        <v>1E-3</v>
      </c>
      <c r="F13" s="22">
        <v>1E-3</v>
      </c>
      <c r="G13" s="22">
        <v>1E-3</v>
      </c>
      <c r="H13" s="22">
        <v>1E-3</v>
      </c>
      <c r="I13" s="47">
        <v>1E-3</v>
      </c>
      <c r="J13" s="45" t="s">
        <v>26</v>
      </c>
      <c r="K13" s="121" t="s">
        <v>180</v>
      </c>
    </row>
    <row r="14" spans="1:11" ht="34.15" customHeight="1" x14ac:dyDescent="0.25">
      <c r="A14" s="90" t="s">
        <v>137</v>
      </c>
      <c r="B14" s="25" t="s">
        <v>88</v>
      </c>
      <c r="D14" s="42" t="s">
        <v>66</v>
      </c>
      <c r="I14" s="46"/>
      <c r="J14" s="45"/>
      <c r="K14" s="123" t="s">
        <v>181</v>
      </c>
    </row>
    <row r="15" spans="1:11" ht="80.25" customHeight="1" x14ac:dyDescent="0.25">
      <c r="A15" s="90" t="s">
        <v>163</v>
      </c>
      <c r="B15" s="25" t="s">
        <v>89</v>
      </c>
      <c r="D15" s="42" t="s">
        <v>67</v>
      </c>
      <c r="E15" s="46">
        <v>3.7549999999999999</v>
      </c>
      <c r="F15" s="46">
        <v>3.3239999999999998</v>
      </c>
      <c r="G15" s="46">
        <v>2.8540000000000001</v>
      </c>
      <c r="H15" s="46">
        <v>2.4510000000000001</v>
      </c>
      <c r="I15" s="46">
        <f>1.79681842503226E+27*EXP(-0.0304725973915134*I1)</f>
        <v>1.3324114456421032</v>
      </c>
      <c r="J15" s="103" t="s">
        <v>10</v>
      </c>
      <c r="K15" s="121" t="s">
        <v>224</v>
      </c>
    </row>
    <row r="16" spans="1:11" ht="39.950000000000003" customHeight="1" x14ac:dyDescent="0.25">
      <c r="A16" s="90" t="s">
        <v>164</v>
      </c>
      <c r="B16" s="25" t="s">
        <v>90</v>
      </c>
      <c r="D16" s="42" t="s">
        <v>68</v>
      </c>
      <c r="E16" s="46">
        <v>3</v>
      </c>
      <c r="F16" s="46">
        <v>2.6549999999999998</v>
      </c>
      <c r="G16" s="46">
        <v>2.2799999999999998</v>
      </c>
      <c r="H16" s="46">
        <v>1.958</v>
      </c>
      <c r="I16" s="46">
        <f>1.43999081822477E+27*EXP(-0.0304741788483787*I1)</f>
        <v>1.064353538757961</v>
      </c>
      <c r="J16" s="103"/>
      <c r="K16" s="120" t="s">
        <v>182</v>
      </c>
    </row>
    <row r="17" spans="1:11" ht="39.950000000000003" customHeight="1" x14ac:dyDescent="0.25">
      <c r="A17" s="90" t="s">
        <v>165</v>
      </c>
      <c r="B17" s="25" t="s">
        <v>91</v>
      </c>
      <c r="D17" s="42" t="s">
        <v>69</v>
      </c>
      <c r="E17" s="46">
        <v>0.3</v>
      </c>
      <c r="F17" s="46">
        <v>0.26500000000000001</v>
      </c>
      <c r="G17" s="46">
        <v>0.22800000000000001</v>
      </c>
      <c r="H17" s="46">
        <v>0.19500000000000001</v>
      </c>
      <c r="I17" s="46">
        <f>2.24924246320462E+26*EXP(-0.030695388358071*I1)</f>
        <v>0.10563767086001355</v>
      </c>
      <c r="J17" s="103"/>
      <c r="K17" s="120"/>
    </row>
    <row r="18" spans="1:11" ht="30" customHeight="1" x14ac:dyDescent="0.25">
      <c r="A18" s="90" t="s">
        <v>166</v>
      </c>
      <c r="B18" s="25" t="s">
        <v>92</v>
      </c>
      <c r="D18" s="42" t="s">
        <v>70</v>
      </c>
      <c r="F18" s="22">
        <v>5.8</v>
      </c>
      <c r="I18" s="46"/>
      <c r="J18" s="45" t="s">
        <v>47</v>
      </c>
      <c r="K18" s="122" t="s">
        <v>183</v>
      </c>
    </row>
    <row r="19" spans="1:11" ht="30" customHeight="1" x14ac:dyDescent="0.25">
      <c r="A19" s="90" t="s">
        <v>167</v>
      </c>
      <c r="B19" s="25" t="s">
        <v>93</v>
      </c>
      <c r="D19" s="42" t="s">
        <v>71</v>
      </c>
      <c r="E19" s="47"/>
      <c r="F19" s="44">
        <v>2.2000000000000002</v>
      </c>
      <c r="G19" s="47"/>
      <c r="H19" s="47"/>
      <c r="I19" s="47"/>
      <c r="J19" s="45" t="s">
        <v>47</v>
      </c>
      <c r="K19" s="122"/>
    </row>
    <row r="20" spans="1:11" ht="30" customHeight="1" x14ac:dyDescent="0.25">
      <c r="A20" s="90" t="s">
        <v>171</v>
      </c>
      <c r="B20" s="25" t="s">
        <v>94</v>
      </c>
      <c r="D20" s="42" t="s">
        <v>67</v>
      </c>
      <c r="E20" s="46">
        <v>4.6941170000000003</v>
      </c>
      <c r="F20" s="46">
        <f>Flywheels!D28</f>
        <v>3.7979061549000002</v>
      </c>
      <c r="G20" s="46">
        <v>3.5686140000000002</v>
      </c>
      <c r="H20" s="46">
        <f>Flywheels!E28</f>
        <v>2.8006676303060027</v>
      </c>
      <c r="I20" s="46">
        <f>2.18640410680429E+27*EXP(-0.030459*I1)</f>
        <v>1.6671336004692439</v>
      </c>
      <c r="J20" s="48"/>
      <c r="K20" s="121" t="s">
        <v>184</v>
      </c>
    </row>
    <row r="21" spans="1:11" ht="30" customHeight="1" x14ac:dyDescent="0.25">
      <c r="A21" s="90" t="s">
        <v>169</v>
      </c>
      <c r="B21" s="25" t="s">
        <v>95</v>
      </c>
      <c r="D21" s="42" t="s">
        <v>72</v>
      </c>
      <c r="E21" s="22">
        <v>350</v>
      </c>
      <c r="F21" s="22">
        <v>350</v>
      </c>
      <c r="G21" s="22">
        <v>350</v>
      </c>
      <c r="H21" s="22">
        <v>350</v>
      </c>
      <c r="I21" s="43">
        <v>350</v>
      </c>
      <c r="J21" s="103" t="s">
        <v>6</v>
      </c>
      <c r="K21" s="120" t="s">
        <v>179</v>
      </c>
    </row>
    <row r="22" spans="1:11" ht="30" customHeight="1" x14ac:dyDescent="0.25">
      <c r="A22" s="90" t="s">
        <v>170</v>
      </c>
      <c r="B22" s="25" t="s">
        <v>96</v>
      </c>
      <c r="D22" s="42" t="s">
        <v>72</v>
      </c>
      <c r="E22" s="22">
        <v>1500</v>
      </c>
      <c r="F22" s="22">
        <v>1500</v>
      </c>
      <c r="G22" s="22">
        <v>1500</v>
      </c>
      <c r="H22" s="22">
        <v>1500</v>
      </c>
      <c r="I22" s="43">
        <v>1500</v>
      </c>
      <c r="J22" s="103"/>
      <c r="K22" s="120"/>
    </row>
    <row r="23" spans="1:11" ht="70.5" customHeight="1" x14ac:dyDescent="0.25">
      <c r="A23" s="90" t="s">
        <v>168</v>
      </c>
      <c r="B23" s="25" t="s">
        <v>44</v>
      </c>
      <c r="D23" s="42" t="s">
        <v>73</v>
      </c>
      <c r="E23" s="49">
        <v>200000</v>
      </c>
      <c r="F23" s="49">
        <v>225101</v>
      </c>
      <c r="G23" s="49">
        <v>260954</v>
      </c>
      <c r="H23" s="49">
        <v>302517</v>
      </c>
      <c r="I23" s="49">
        <f>2.638E-21*EXP(0.0295586322376959*I1)</f>
        <v>546303.62433718448</v>
      </c>
      <c r="J23" s="45" t="s">
        <v>10</v>
      </c>
      <c r="K23" s="124" t="s">
        <v>225</v>
      </c>
    </row>
    <row r="24" spans="1:11" ht="56.85" customHeight="1" x14ac:dyDescent="0.25">
      <c r="C24" s="25"/>
      <c r="D24" s="42"/>
      <c r="E24" s="50"/>
      <c r="F24" s="50"/>
      <c r="G24" s="50"/>
      <c r="H24" s="50"/>
      <c r="I24" s="51"/>
    </row>
    <row r="26" spans="1:11" ht="16.350000000000001" customHeight="1" x14ac:dyDescent="0.25">
      <c r="J26" s="58"/>
      <c r="K26" s="58"/>
    </row>
    <row r="27" spans="1:11" x14ac:dyDescent="0.25">
      <c r="K27" s="22"/>
    </row>
    <row r="28" spans="1:11" x14ac:dyDescent="0.3">
      <c r="C28" s="53" t="s">
        <v>10</v>
      </c>
      <c r="D28" s="54" t="s">
        <v>29</v>
      </c>
    </row>
    <row r="29" spans="1:11" x14ac:dyDescent="0.3">
      <c r="C29" s="53" t="s">
        <v>6</v>
      </c>
      <c r="D29" s="55" t="s">
        <v>34</v>
      </c>
    </row>
    <row r="30" spans="1:11" x14ac:dyDescent="0.3">
      <c r="C30" s="53" t="s">
        <v>25</v>
      </c>
      <c r="D30" s="55" t="s">
        <v>27</v>
      </c>
    </row>
    <row r="31" spans="1:11" x14ac:dyDescent="0.3">
      <c r="C31" s="53" t="s">
        <v>26</v>
      </c>
      <c r="D31" s="55" t="s">
        <v>28</v>
      </c>
    </row>
    <row r="32" spans="1:11" x14ac:dyDescent="0.3">
      <c r="C32" s="53" t="s">
        <v>33</v>
      </c>
      <c r="D32" s="56" t="s">
        <v>32</v>
      </c>
    </row>
    <row r="33" spans="3:4" x14ac:dyDescent="0.3">
      <c r="C33" s="53" t="s">
        <v>47</v>
      </c>
      <c r="D33" s="57" t="s">
        <v>97</v>
      </c>
    </row>
  </sheetData>
  <mergeCells count="10">
    <mergeCell ref="J2:J5"/>
    <mergeCell ref="J9:J10"/>
    <mergeCell ref="J15:J17"/>
    <mergeCell ref="J21:J22"/>
    <mergeCell ref="K2:K4"/>
    <mergeCell ref="K6:K7"/>
    <mergeCell ref="K16:K17"/>
    <mergeCell ref="K9:K10"/>
    <mergeCell ref="K21:K22"/>
    <mergeCell ref="K18:K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9"/>
  <sheetViews>
    <sheetView topLeftCell="A16" zoomScale="80" zoomScaleNormal="80" workbookViewId="0">
      <selection activeCell="A37" sqref="A37"/>
    </sheetView>
  </sheetViews>
  <sheetFormatPr baseColWidth="10" defaultColWidth="11.5703125" defaultRowHeight="18" x14ac:dyDescent="0.35"/>
  <cols>
    <col min="1" max="1" width="112.140625" style="23" customWidth="1"/>
    <col min="2" max="2" width="52.5703125" style="23" hidden="1" customWidth="1"/>
    <col min="3" max="3" width="4" style="26" customWidth="1"/>
    <col min="4" max="10" width="11.5703125" style="23" customWidth="1"/>
    <col min="11" max="11" width="10.140625" style="23" customWidth="1"/>
    <col min="12" max="12" width="15.28515625" style="23" customWidth="1"/>
    <col min="13" max="14" width="10.140625" style="23" customWidth="1"/>
    <col min="15" max="17" width="10.42578125" style="23" customWidth="1"/>
    <col min="18" max="22" width="10.140625" style="23" customWidth="1"/>
    <col min="23" max="27" width="10.7109375" style="23" customWidth="1"/>
    <col min="28" max="16384" width="11.5703125" style="23"/>
  </cols>
  <sheetData>
    <row r="1" spans="1:27" s="28" customFormat="1" ht="36" x14ac:dyDescent="0.35">
      <c r="B1" s="29"/>
      <c r="D1" s="30"/>
      <c r="E1" s="30"/>
      <c r="F1" s="30"/>
      <c r="G1" s="30"/>
      <c r="H1" s="104" t="s">
        <v>196</v>
      </c>
      <c r="I1" s="104"/>
      <c r="J1" s="104" t="s">
        <v>197</v>
      </c>
      <c r="K1" s="104"/>
      <c r="L1" s="30"/>
      <c r="M1" s="104" t="s">
        <v>198</v>
      </c>
      <c r="N1" s="104"/>
      <c r="O1" s="104" t="s">
        <v>199</v>
      </c>
      <c r="P1" s="104"/>
      <c r="Q1" s="104" t="s">
        <v>200</v>
      </c>
      <c r="R1" s="104"/>
      <c r="S1" s="31"/>
      <c r="T1" s="32" t="s">
        <v>201</v>
      </c>
      <c r="U1" s="32" t="s">
        <v>202</v>
      </c>
      <c r="V1" s="32" t="s">
        <v>203</v>
      </c>
      <c r="W1" s="104" t="s">
        <v>204</v>
      </c>
      <c r="X1" s="104"/>
      <c r="Y1" s="104"/>
      <c r="Z1" s="104"/>
      <c r="AA1" s="104"/>
    </row>
    <row r="2" spans="1:27" ht="30" customHeight="1" x14ac:dyDescent="0.35">
      <c r="A2" s="91" t="s">
        <v>158</v>
      </c>
      <c r="B2" s="33" t="s">
        <v>43</v>
      </c>
      <c r="D2" s="32">
        <v>2018</v>
      </c>
      <c r="E2" s="32">
        <v>2020</v>
      </c>
      <c r="F2" s="32">
        <v>2030</v>
      </c>
      <c r="G2" s="32">
        <v>2050</v>
      </c>
      <c r="H2" s="30" t="s">
        <v>149</v>
      </c>
      <c r="I2" s="34" t="s">
        <v>150</v>
      </c>
      <c r="J2" s="34" t="s">
        <v>149</v>
      </c>
      <c r="K2" s="34" t="s">
        <v>150</v>
      </c>
      <c r="L2" s="30" t="s">
        <v>172</v>
      </c>
      <c r="M2" s="34" t="s">
        <v>149</v>
      </c>
      <c r="N2" s="34" t="s">
        <v>150</v>
      </c>
      <c r="O2" s="34" t="s">
        <v>149</v>
      </c>
      <c r="P2" s="34" t="s">
        <v>150</v>
      </c>
      <c r="Q2" s="34" t="s">
        <v>149</v>
      </c>
      <c r="R2" s="34" t="s">
        <v>150</v>
      </c>
      <c r="S2" s="35"/>
      <c r="T2" s="36">
        <v>2020</v>
      </c>
      <c r="U2" s="37">
        <f>M3</f>
        <v>-0.14285714285714285</v>
      </c>
      <c r="V2" s="37">
        <f>N3</f>
        <v>0.14285714285714285</v>
      </c>
      <c r="W2" s="105" t="s">
        <v>205</v>
      </c>
      <c r="X2" s="106"/>
      <c r="Y2" s="106"/>
      <c r="Z2" s="106"/>
      <c r="AA2" s="107"/>
    </row>
    <row r="3" spans="1:27" ht="31.15" customHeight="1" x14ac:dyDescent="0.35">
      <c r="A3" s="128" t="s">
        <v>186</v>
      </c>
      <c r="B3" s="27" t="s">
        <v>99</v>
      </c>
      <c r="D3" s="34">
        <v>115</v>
      </c>
      <c r="E3" s="34">
        <v>350</v>
      </c>
      <c r="F3" s="34">
        <v>350</v>
      </c>
      <c r="G3" s="34">
        <v>350</v>
      </c>
      <c r="H3" s="34">
        <v>300</v>
      </c>
      <c r="I3" s="34">
        <v>400</v>
      </c>
      <c r="J3" s="34">
        <v>350</v>
      </c>
      <c r="K3" s="34">
        <v>400</v>
      </c>
      <c r="L3" s="112" t="s">
        <v>6</v>
      </c>
      <c r="M3" s="38">
        <f>(H3-$E$3)/$E$3</f>
        <v>-0.14285714285714285</v>
      </c>
      <c r="N3" s="38">
        <f>(I3-$E$3)/$E$3</f>
        <v>0.14285714285714285</v>
      </c>
      <c r="O3" s="38">
        <f>(0.004762*F2)-9.761905</f>
        <v>-9.5045000000000712E-2</v>
      </c>
      <c r="P3" s="38">
        <f>0.14</f>
        <v>0.14000000000000001</v>
      </c>
      <c r="Q3" s="38">
        <f>(J3-$G$3)/$G$3</f>
        <v>0</v>
      </c>
      <c r="R3" s="38">
        <f>(K3-$G$3)/$G$3</f>
        <v>0.14285714285714285</v>
      </c>
      <c r="S3" s="35"/>
      <c r="T3" s="36">
        <v>2050</v>
      </c>
      <c r="U3" s="37">
        <f>Q3</f>
        <v>0</v>
      </c>
      <c r="V3" s="37">
        <f>R3</f>
        <v>0.14285714285714285</v>
      </c>
      <c r="W3" s="108"/>
      <c r="X3" s="109"/>
      <c r="Y3" s="109"/>
      <c r="Z3" s="109"/>
      <c r="AA3" s="110"/>
    </row>
    <row r="4" spans="1:27" ht="30" customHeight="1" x14ac:dyDescent="0.35">
      <c r="A4" s="128" t="s">
        <v>187</v>
      </c>
      <c r="B4" s="27" t="s">
        <v>100</v>
      </c>
      <c r="D4" s="34">
        <v>500</v>
      </c>
      <c r="E4" s="34">
        <v>1500</v>
      </c>
      <c r="F4" s="34">
        <v>1500</v>
      </c>
      <c r="G4" s="34">
        <v>1500</v>
      </c>
      <c r="H4" s="34">
        <v>1300</v>
      </c>
      <c r="I4" s="34">
        <v>2000</v>
      </c>
      <c r="J4" s="34">
        <v>1300</v>
      </c>
      <c r="K4" s="34">
        <v>2000</v>
      </c>
      <c r="L4" s="112"/>
      <c r="M4" s="38">
        <f>(H4-$E$4)/$E$4</f>
        <v>-0.13333333333333333</v>
      </c>
      <c r="N4" s="38">
        <f>(I4-$E$4)/$E$4</f>
        <v>0.33333333333333331</v>
      </c>
      <c r="O4" s="39">
        <f>M4</f>
        <v>-0.13333333333333333</v>
      </c>
      <c r="P4" s="39">
        <f>N4</f>
        <v>0.33333333333333331</v>
      </c>
      <c r="Q4" s="38">
        <f>(J4-$G$4)/$G$4</f>
        <v>-0.13333333333333333</v>
      </c>
      <c r="R4" s="38">
        <f>(K4-$G$4)/$G$4</f>
        <v>0.33333333333333331</v>
      </c>
      <c r="S4" s="35"/>
      <c r="T4" s="35"/>
      <c r="U4" s="35"/>
      <c r="V4" s="35"/>
      <c r="W4" s="108" t="s">
        <v>206</v>
      </c>
      <c r="X4" s="109"/>
      <c r="Y4" s="109"/>
      <c r="Z4" s="109"/>
      <c r="AA4" s="110"/>
    </row>
    <row r="5" spans="1:27" x14ac:dyDescent="0.35">
      <c r="A5" s="128"/>
      <c r="B5" s="24"/>
    </row>
    <row r="6" spans="1:27" x14ac:dyDescent="0.35">
      <c r="A6" s="128"/>
      <c r="B6" s="24"/>
    </row>
    <row r="7" spans="1:27" x14ac:dyDescent="0.35">
      <c r="A7" s="128"/>
      <c r="B7" s="26"/>
      <c r="D7" s="111" t="s">
        <v>204</v>
      </c>
      <c r="E7" s="111"/>
      <c r="F7" s="111"/>
      <c r="G7" s="111"/>
      <c r="H7" s="111"/>
      <c r="I7" s="111"/>
      <c r="J7" s="111"/>
      <c r="K7" s="59"/>
      <c r="L7" s="59"/>
      <c r="M7" s="59"/>
      <c r="N7" s="59"/>
      <c r="O7" s="60"/>
      <c r="P7" s="60"/>
      <c r="Q7" s="60"/>
    </row>
    <row r="8" spans="1:27" ht="30" customHeight="1" x14ac:dyDescent="0.35">
      <c r="A8" s="129" t="s">
        <v>125</v>
      </c>
      <c r="B8" s="27" t="s">
        <v>101</v>
      </c>
      <c r="D8" s="125" t="s">
        <v>207</v>
      </c>
      <c r="E8" s="125"/>
      <c r="F8" s="125"/>
      <c r="G8" s="125"/>
      <c r="H8" s="125"/>
      <c r="I8" s="125"/>
      <c r="J8" s="125"/>
      <c r="K8" s="59"/>
      <c r="L8" s="59"/>
      <c r="M8" s="59"/>
      <c r="N8" s="59"/>
      <c r="O8" s="59"/>
      <c r="P8" s="59"/>
      <c r="Q8" s="59"/>
    </row>
    <row r="9" spans="1:27" ht="30" customHeight="1" x14ac:dyDescent="0.35">
      <c r="A9" s="129" t="s">
        <v>126</v>
      </c>
      <c r="B9" s="27" t="s">
        <v>102</v>
      </c>
      <c r="D9" s="125"/>
      <c r="E9" s="125"/>
      <c r="F9" s="125"/>
      <c r="G9" s="125"/>
      <c r="H9" s="125"/>
      <c r="I9" s="125"/>
      <c r="J9" s="125"/>
      <c r="K9" s="59"/>
      <c r="L9" s="59"/>
      <c r="M9" s="59"/>
      <c r="N9" s="59"/>
      <c r="O9" s="59"/>
      <c r="P9" s="59"/>
      <c r="Q9" s="59"/>
    </row>
    <row r="10" spans="1:27" ht="30" customHeight="1" x14ac:dyDescent="0.35">
      <c r="A10" s="129" t="s">
        <v>188</v>
      </c>
      <c r="B10" s="27" t="s">
        <v>103</v>
      </c>
      <c r="D10" s="125"/>
      <c r="E10" s="125"/>
      <c r="F10" s="125"/>
      <c r="G10" s="125"/>
      <c r="H10" s="125"/>
      <c r="I10" s="125"/>
      <c r="J10" s="125"/>
      <c r="K10" s="59"/>
      <c r="L10" s="59"/>
      <c r="M10" s="59"/>
      <c r="N10" s="59"/>
      <c r="O10" s="59"/>
      <c r="P10" s="59"/>
      <c r="Q10" s="59"/>
    </row>
    <row r="11" spans="1:27" ht="30" customHeight="1" x14ac:dyDescent="0.35">
      <c r="A11" s="129" t="s">
        <v>195</v>
      </c>
      <c r="B11" s="27" t="s">
        <v>104</v>
      </c>
      <c r="D11" s="125"/>
      <c r="E11" s="125"/>
      <c r="F11" s="125"/>
      <c r="G11" s="125"/>
      <c r="H11" s="125"/>
      <c r="I11" s="125"/>
      <c r="J11" s="125"/>
      <c r="K11" s="59"/>
      <c r="L11" s="59"/>
      <c r="M11" s="59"/>
      <c r="N11" s="59"/>
      <c r="O11" s="59"/>
      <c r="P11" s="59"/>
      <c r="Q11" s="59"/>
    </row>
    <row r="12" spans="1:27" ht="30" customHeight="1" x14ac:dyDescent="0.35">
      <c r="A12" s="129" t="s">
        <v>128</v>
      </c>
      <c r="B12" s="27" t="s">
        <v>74</v>
      </c>
      <c r="D12" s="125"/>
      <c r="E12" s="125"/>
      <c r="F12" s="125"/>
      <c r="G12" s="125"/>
      <c r="H12" s="125"/>
      <c r="I12" s="125"/>
      <c r="J12" s="125"/>
      <c r="K12" s="59"/>
      <c r="L12" s="59"/>
      <c r="M12" s="59"/>
      <c r="N12" s="59"/>
      <c r="O12" s="59"/>
      <c r="P12" s="59"/>
      <c r="Q12" s="59"/>
    </row>
    <row r="13" spans="1:27" ht="30" customHeight="1" x14ac:dyDescent="0.35">
      <c r="A13" s="129" t="s">
        <v>129</v>
      </c>
      <c r="B13" s="27" t="s">
        <v>105</v>
      </c>
      <c r="D13" s="125"/>
      <c r="E13" s="125"/>
      <c r="F13" s="125"/>
      <c r="G13" s="125"/>
      <c r="H13" s="125"/>
      <c r="I13" s="125"/>
      <c r="J13" s="125"/>
      <c r="K13" s="59"/>
      <c r="L13" s="59"/>
      <c r="M13" s="59"/>
      <c r="N13" s="59"/>
      <c r="O13" s="59"/>
      <c r="P13" s="59"/>
      <c r="Q13" s="59"/>
    </row>
    <row r="14" spans="1:27" ht="30" customHeight="1" x14ac:dyDescent="0.35">
      <c r="A14" s="129" t="s">
        <v>189</v>
      </c>
      <c r="B14" s="27" t="s">
        <v>106</v>
      </c>
      <c r="D14" s="125"/>
      <c r="E14" s="125"/>
      <c r="F14" s="125"/>
      <c r="G14" s="125"/>
      <c r="H14" s="125"/>
      <c r="I14" s="125"/>
      <c r="J14" s="125"/>
      <c r="K14" s="59"/>
      <c r="L14" s="59"/>
      <c r="M14" s="59"/>
      <c r="N14" s="59"/>
      <c r="O14" s="59"/>
      <c r="P14" s="59"/>
      <c r="Q14" s="59"/>
    </row>
    <row r="15" spans="1:27" ht="30" customHeight="1" x14ac:dyDescent="0.35">
      <c r="A15" s="129" t="s">
        <v>131</v>
      </c>
      <c r="B15" s="27" t="s">
        <v>107</v>
      </c>
      <c r="D15" s="126" t="s">
        <v>177</v>
      </c>
      <c r="E15" s="126"/>
      <c r="F15" s="126"/>
      <c r="G15" s="126"/>
      <c r="H15" s="126"/>
      <c r="I15" s="126"/>
      <c r="J15" s="126"/>
      <c r="K15" s="59"/>
      <c r="L15" s="59"/>
      <c r="M15" s="59"/>
      <c r="N15" s="59"/>
      <c r="O15" s="61"/>
      <c r="P15" s="61"/>
      <c r="Q15" s="61"/>
    </row>
    <row r="16" spans="1:27" ht="30" customHeight="1" x14ac:dyDescent="0.35">
      <c r="A16" s="129" t="s">
        <v>161</v>
      </c>
      <c r="B16" s="27" t="s">
        <v>108</v>
      </c>
      <c r="D16" s="126" t="s">
        <v>177</v>
      </c>
      <c r="E16" s="126"/>
      <c r="F16" s="126"/>
      <c r="G16" s="126"/>
      <c r="H16" s="126"/>
      <c r="I16" s="126"/>
      <c r="J16" s="126"/>
      <c r="K16" s="59"/>
      <c r="L16" s="59"/>
      <c r="M16" s="59"/>
      <c r="N16" s="59"/>
      <c r="O16" s="61"/>
      <c r="P16" s="61"/>
      <c r="Q16" s="61"/>
    </row>
    <row r="17" spans="1:17" ht="65.25" customHeight="1" x14ac:dyDescent="0.35">
      <c r="A17" s="129" t="s">
        <v>185</v>
      </c>
      <c r="B17" s="27" t="s">
        <v>109</v>
      </c>
      <c r="D17" s="125" t="s">
        <v>208</v>
      </c>
      <c r="E17" s="125"/>
      <c r="F17" s="125"/>
      <c r="G17" s="125"/>
      <c r="H17" s="125"/>
      <c r="I17" s="125"/>
      <c r="J17" s="125"/>
      <c r="K17" s="59"/>
      <c r="L17" s="59"/>
      <c r="M17" s="59"/>
      <c r="N17" s="59"/>
      <c r="O17" s="59"/>
      <c r="P17" s="59"/>
      <c r="Q17" s="59"/>
    </row>
    <row r="18" spans="1:17" ht="30" customHeight="1" x14ac:dyDescent="0.35">
      <c r="A18" s="129" t="s">
        <v>134</v>
      </c>
      <c r="B18" s="27" t="s">
        <v>110</v>
      </c>
      <c r="D18" s="127" t="s">
        <v>209</v>
      </c>
      <c r="E18" s="127"/>
      <c r="F18" s="127"/>
      <c r="G18" s="127"/>
      <c r="H18" s="127"/>
      <c r="I18" s="127"/>
      <c r="J18" s="127"/>
      <c r="K18" s="65"/>
      <c r="L18" s="65"/>
      <c r="M18" s="65"/>
      <c r="N18" s="65"/>
      <c r="O18" s="63"/>
      <c r="P18" s="62"/>
      <c r="Q18" s="62"/>
    </row>
    <row r="19" spans="1:17" ht="30" customHeight="1" x14ac:dyDescent="0.35">
      <c r="A19" s="129" t="s">
        <v>190</v>
      </c>
      <c r="B19" s="27" t="s">
        <v>111</v>
      </c>
      <c r="D19" s="125" t="s">
        <v>210</v>
      </c>
      <c r="E19" s="125"/>
      <c r="F19" s="125"/>
      <c r="G19" s="125"/>
      <c r="H19" s="125"/>
      <c r="I19" s="125"/>
      <c r="J19" s="125"/>
      <c r="K19" s="65"/>
      <c r="L19" s="65"/>
      <c r="M19" s="65"/>
      <c r="N19" s="65"/>
      <c r="O19" s="63"/>
      <c r="P19" s="62"/>
      <c r="Q19" s="62"/>
    </row>
    <row r="20" spans="1:17" ht="30" customHeight="1" x14ac:dyDescent="0.35">
      <c r="A20" s="129" t="s">
        <v>137</v>
      </c>
      <c r="B20" s="27" t="s">
        <v>112</v>
      </c>
      <c r="D20" s="125"/>
      <c r="E20" s="125"/>
      <c r="F20" s="125"/>
      <c r="G20" s="125"/>
      <c r="H20" s="125"/>
      <c r="I20" s="125"/>
      <c r="J20" s="125"/>
      <c r="K20" s="65"/>
      <c r="L20" s="65"/>
      <c r="M20" s="65"/>
      <c r="N20" s="65"/>
      <c r="O20" s="63"/>
      <c r="P20" s="62"/>
      <c r="Q20" s="62"/>
    </row>
    <row r="21" spans="1:17" ht="33.75" customHeight="1" x14ac:dyDescent="0.35">
      <c r="A21" s="129" t="s">
        <v>191</v>
      </c>
      <c r="B21" s="27" t="s">
        <v>113</v>
      </c>
      <c r="D21" s="125" t="s">
        <v>226</v>
      </c>
      <c r="E21" s="125"/>
      <c r="F21" s="125"/>
      <c r="G21" s="125"/>
      <c r="H21" s="125"/>
      <c r="I21" s="125"/>
      <c r="J21" s="125"/>
      <c r="K21" s="66"/>
      <c r="L21" s="66"/>
      <c r="M21" s="66"/>
      <c r="N21" s="66"/>
      <c r="O21" s="63"/>
      <c r="P21" s="62"/>
      <c r="Q21" s="62"/>
    </row>
    <row r="22" spans="1:17" ht="39.950000000000003" customHeight="1" x14ac:dyDescent="0.35">
      <c r="A22" s="129" t="s">
        <v>192</v>
      </c>
      <c r="B22" s="27" t="s">
        <v>114</v>
      </c>
      <c r="D22" s="125" t="s">
        <v>211</v>
      </c>
      <c r="E22" s="125"/>
      <c r="F22" s="125"/>
      <c r="G22" s="125"/>
      <c r="H22" s="125"/>
      <c r="I22" s="125"/>
      <c r="J22" s="125"/>
      <c r="K22" s="67"/>
      <c r="L22" s="67"/>
      <c r="M22" s="67"/>
      <c r="N22" s="67"/>
      <c r="O22" s="59"/>
      <c r="P22" s="59"/>
      <c r="Q22" s="59"/>
    </row>
    <row r="23" spans="1:17" ht="39.950000000000003" customHeight="1" x14ac:dyDescent="0.35">
      <c r="A23" s="129" t="s">
        <v>165</v>
      </c>
      <c r="B23" s="27" t="s">
        <v>115</v>
      </c>
      <c r="D23" s="125"/>
      <c r="E23" s="125"/>
      <c r="F23" s="125"/>
      <c r="G23" s="125"/>
      <c r="H23" s="125"/>
      <c r="I23" s="125"/>
      <c r="J23" s="125"/>
      <c r="K23" s="67"/>
      <c r="L23" s="67"/>
      <c r="M23" s="67"/>
      <c r="N23" s="67"/>
      <c r="O23" s="59"/>
      <c r="P23" s="59"/>
      <c r="Q23" s="59"/>
    </row>
    <row r="24" spans="1:17" ht="30" customHeight="1" x14ac:dyDescent="0.35">
      <c r="A24" s="90" t="s">
        <v>166</v>
      </c>
      <c r="B24" s="27" t="s">
        <v>92</v>
      </c>
      <c r="D24" s="125" t="s">
        <v>212</v>
      </c>
      <c r="E24" s="125"/>
      <c r="F24" s="125"/>
      <c r="G24" s="125"/>
      <c r="H24" s="125"/>
      <c r="I24" s="125"/>
      <c r="J24" s="125"/>
      <c r="K24" s="66"/>
      <c r="L24" s="66"/>
      <c r="M24" s="66"/>
      <c r="N24" s="66"/>
      <c r="O24" s="64"/>
      <c r="P24" s="61"/>
      <c r="Q24" s="61"/>
    </row>
    <row r="25" spans="1:17" ht="30" customHeight="1" x14ac:dyDescent="0.35">
      <c r="A25" s="90" t="s">
        <v>193</v>
      </c>
      <c r="B25" s="27" t="s">
        <v>116</v>
      </c>
      <c r="D25" s="125"/>
      <c r="E25" s="125"/>
      <c r="F25" s="125"/>
      <c r="G25" s="125"/>
      <c r="H25" s="125"/>
      <c r="I25" s="125"/>
      <c r="J25" s="125"/>
      <c r="K25" s="66"/>
      <c r="L25" s="66"/>
      <c r="M25" s="66"/>
      <c r="N25" s="66"/>
      <c r="O25" s="64"/>
      <c r="P25" s="61"/>
      <c r="Q25" s="61"/>
    </row>
    <row r="26" spans="1:17" ht="37.5" customHeight="1" x14ac:dyDescent="0.35">
      <c r="A26" s="90" t="s">
        <v>171</v>
      </c>
      <c r="B26" s="27" t="s">
        <v>117</v>
      </c>
      <c r="D26" s="125" t="s">
        <v>227</v>
      </c>
      <c r="E26" s="125"/>
      <c r="F26" s="125"/>
      <c r="G26" s="125"/>
      <c r="H26" s="125"/>
      <c r="I26" s="125"/>
      <c r="J26" s="125"/>
      <c r="K26" s="66"/>
      <c r="L26" s="66"/>
      <c r="M26" s="66"/>
      <c r="N26" s="66"/>
      <c r="O26" s="63"/>
      <c r="P26" s="62"/>
      <c r="Q26" s="62"/>
    </row>
    <row r="27" spans="1:17" ht="65.25" customHeight="1" x14ac:dyDescent="0.35">
      <c r="A27" s="90" t="s">
        <v>168</v>
      </c>
      <c r="B27" s="27" t="s">
        <v>23</v>
      </c>
      <c r="D27" s="125" t="s">
        <v>213</v>
      </c>
      <c r="E27" s="125"/>
      <c r="F27" s="125"/>
      <c r="G27" s="125"/>
      <c r="H27" s="125"/>
      <c r="I27" s="125"/>
      <c r="J27" s="125"/>
      <c r="K27" s="59"/>
      <c r="L27" s="59"/>
      <c r="M27" s="59"/>
      <c r="N27" s="59"/>
      <c r="O27" s="59"/>
      <c r="P27" s="59"/>
      <c r="Q27" s="59"/>
    </row>
    <row r="28" spans="1:17" ht="30" customHeight="1" x14ac:dyDescent="0.35">
      <c r="A28" s="90" t="s">
        <v>194</v>
      </c>
      <c r="B28" s="27" t="s">
        <v>118</v>
      </c>
      <c r="D28" s="125" t="s">
        <v>214</v>
      </c>
      <c r="E28" s="125"/>
      <c r="F28" s="125"/>
      <c r="G28" s="125"/>
      <c r="H28" s="125"/>
      <c r="I28" s="125"/>
      <c r="J28" s="125"/>
      <c r="K28" s="59"/>
      <c r="L28" s="59"/>
      <c r="M28" s="59"/>
      <c r="N28" s="59"/>
      <c r="O28" s="59"/>
      <c r="P28" s="59"/>
      <c r="Q28" s="59"/>
    </row>
    <row r="29" spans="1:17" ht="30" customHeight="1" x14ac:dyDescent="0.35">
      <c r="A29" s="90" t="s">
        <v>142</v>
      </c>
      <c r="B29" s="27" t="s">
        <v>119</v>
      </c>
      <c r="D29" s="125"/>
      <c r="E29" s="125"/>
      <c r="F29" s="125"/>
      <c r="G29" s="125"/>
      <c r="H29" s="125"/>
      <c r="I29" s="125"/>
      <c r="J29" s="125"/>
      <c r="K29" s="59"/>
      <c r="L29" s="59"/>
      <c r="M29" s="59"/>
      <c r="N29" s="59"/>
      <c r="O29" s="59"/>
      <c r="P29" s="59"/>
      <c r="Q29" s="59"/>
    </row>
  </sheetData>
  <mergeCells count="22">
    <mergeCell ref="D24:J25"/>
    <mergeCell ref="D28:J29"/>
    <mergeCell ref="D18:J18"/>
    <mergeCell ref="D19:J20"/>
    <mergeCell ref="D21:J21"/>
    <mergeCell ref="D22:J23"/>
    <mergeCell ref="D26:J26"/>
    <mergeCell ref="D27:J27"/>
    <mergeCell ref="D17:J17"/>
    <mergeCell ref="Q1:R1"/>
    <mergeCell ref="L3:L4"/>
    <mergeCell ref="H1:I1"/>
    <mergeCell ref="J1:K1"/>
    <mergeCell ref="M1:N1"/>
    <mergeCell ref="O1:P1"/>
    <mergeCell ref="D15:J15"/>
    <mergeCell ref="D16:J16"/>
    <mergeCell ref="W1:AA1"/>
    <mergeCell ref="W2:AA3"/>
    <mergeCell ref="W4:AA4"/>
    <mergeCell ref="D7:J7"/>
    <mergeCell ref="D8:J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Gráficos</vt:lpstr>
      </vt:variant>
      <vt:variant>
        <vt:i4>7</vt:i4>
      </vt:variant>
    </vt:vector>
  </HeadingPairs>
  <TitlesOfParts>
    <vt:vector size="10" baseType="lpstr">
      <vt:lpstr>Flywheels</vt:lpstr>
      <vt:lpstr>Data</vt:lpstr>
      <vt:lpstr>Uncertanties</vt:lpstr>
      <vt:lpstr>USE_L</vt:lpstr>
      <vt:lpstr>05_RTE</vt:lpstr>
      <vt:lpstr>08_ELS</vt:lpstr>
      <vt:lpstr>11_TL</vt:lpstr>
      <vt:lpstr>16_EC</vt:lpstr>
      <vt:lpstr>17_CC</vt:lpstr>
      <vt:lpstr>23_LTN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Roberto Ulises Ruiz Saucedo</cp:lastModifiedBy>
  <dcterms:created xsi:type="dcterms:W3CDTF">2019-12-11T22:28:31Z</dcterms:created>
  <dcterms:modified xsi:type="dcterms:W3CDTF">2020-10-12T22:13:26Z</dcterms:modified>
</cp:coreProperties>
</file>