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I:\03-PROY ALM ENE\04-INFORMES ESP\02\Tablas V11 ESPAÑOL\"/>
    </mc:Choice>
  </mc:AlternateContent>
  <xr:revisionPtr revIDLastSave="0" documentId="13_ncr:1_{81F8B2A6-D43E-4566-ABBF-31DB1AEB2AD0}" xr6:coauthVersionLast="45" xr6:coauthVersionMax="45" xr10:uidLastSave="{00000000-0000-0000-0000-000000000000}"/>
  <bookViews>
    <workbookView xWindow="-120" yWindow="-120" windowWidth="29040" windowHeight="15840" activeTab="2" xr2:uid="{00000000-000D-0000-FFFF-FFFF00000000}"/>
  </bookViews>
  <sheets>
    <sheet name="VRF" sheetId="1" r:id="rId1"/>
    <sheet name="Data" sheetId="2" r:id="rId2"/>
    <sheet name="Uncertanties" sheetId="13" r:id="rId3"/>
    <sheet name="03URT_L" sheetId="14" r:id="rId4"/>
    <sheet name="03URT_U" sheetId="15" r:id="rId5"/>
    <sheet name="04UTL_L" sheetId="16" r:id="rId6"/>
    <sheet name="04ULT_U" sheetId="17" r:id="rId7"/>
    <sheet name="05UOP_L" sheetId="18" r:id="rId8"/>
    <sheet name="05UOP_U" sheetId="19" r:id="rId9"/>
    <sheet name="17_EC" sheetId="11" r:id="rId10"/>
    <sheet name="18_CC" sheetId="10" r:id="rId11"/>
  </sheets>
  <externalReferences>
    <externalReference r:id="rId12"/>
    <externalReference r:id="rId13"/>
    <externalReference r:id="rId14"/>
  </externalReferences>
  <definedNames>
    <definedName name="BTV11_15">'[1]arbejds ark LARGE New'!$K$33</definedName>
    <definedName name="BVT17_15">'[1]arbejds ark LARGE New'!$S$67</definedName>
    <definedName name="EUR16tilEUR15">'[1]22 Photovoltaics  LARGE Old'!$N$2</definedName>
    <definedName name="Index">#REF!</definedName>
    <definedName name="Sheet">#REF!</definedName>
    <definedName name="Start10" localSheetId="0">'[2]Li-Ion Battery'!#REF!</definedName>
    <definedName name="Start10">'[3]03 Lithium Ion Battery'!#REF!</definedName>
    <definedName name="Start11" localSheetId="0">#REF!</definedName>
    <definedName name="Start12" localSheetId="0">'[2]Molten Salt'!#REF!</definedName>
    <definedName name="Start13" localSheetId="0">#REF!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5">#REF!</definedName>
    <definedName name="Start6">#REF!</definedName>
    <definedName name="Start7" localSheetId="0">#REF!</definedName>
    <definedName name="Start7">#REF!</definedName>
    <definedName name="Start8" localSheetId="0">[2]CAES!#REF!</definedName>
    <definedName name="Start9" localSheetId="0">[2]Flywheels!#REF!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2" l="1"/>
  <c r="J21" i="2"/>
  <c r="H21" i="2"/>
  <c r="F21" i="2"/>
  <c r="J20" i="2"/>
  <c r="H20" i="2"/>
  <c r="F20" i="2"/>
  <c r="K21" i="2" l="1"/>
  <c r="I20" i="2"/>
  <c r="I21" i="2"/>
  <c r="D27" i="1"/>
  <c r="H12" i="2" l="1"/>
  <c r="J12" i="2" s="1"/>
  <c r="J8" i="2"/>
  <c r="H8" i="2"/>
  <c r="F8" i="2"/>
  <c r="J7" i="2"/>
  <c r="F7" i="2"/>
  <c r="H7" i="2"/>
  <c r="F5" i="2"/>
  <c r="G5" i="2" s="1"/>
  <c r="H5" i="2" s="1"/>
  <c r="J5" i="2" s="1"/>
  <c r="F4" i="2"/>
  <c r="G4" i="2" s="1"/>
  <c r="H4" i="2" s="1"/>
  <c r="J4" i="2" s="1"/>
  <c r="F3" i="2"/>
  <c r="F25" i="2" l="1"/>
  <c r="F24" i="2"/>
  <c r="F22" i="2"/>
  <c r="G3" i="2"/>
  <c r="H3" i="2" s="1"/>
  <c r="F16" i="2"/>
  <c r="E26" i="1"/>
  <c r="D11" i="1"/>
  <c r="H25" i="2" l="1"/>
  <c r="H24" i="2"/>
  <c r="H22" i="2"/>
  <c r="J3" i="2"/>
  <c r="H16" i="2"/>
  <c r="F26" i="1"/>
  <c r="J25" i="2" l="1"/>
  <c r="J24" i="2"/>
  <c r="I28" i="1"/>
  <c r="J28" i="1" l="1"/>
  <c r="H28" i="1"/>
  <c r="G28" i="1"/>
  <c r="D28" i="1"/>
  <c r="N21" i="2" s="1"/>
  <c r="O21" i="2" s="1"/>
  <c r="H27" i="1"/>
  <c r="G27" i="1"/>
  <c r="E28" i="1" l="1"/>
  <c r="P21" i="2"/>
  <c r="F28" i="1" s="1"/>
  <c r="J34" i="1"/>
  <c r="J33" i="1"/>
  <c r="I34" i="1"/>
  <c r="I33" i="1"/>
  <c r="D6" i="13"/>
  <c r="H6" i="13"/>
  <c r="G6" i="13"/>
  <c r="M6" i="13" l="1"/>
  <c r="O6" i="13" s="1"/>
  <c r="O5" i="13"/>
  <c r="N5" i="13"/>
  <c r="J21" i="1"/>
  <c r="I21" i="1"/>
  <c r="J20" i="1"/>
  <c r="I20" i="1"/>
  <c r="J17" i="1"/>
  <c r="I17" i="1"/>
  <c r="O4" i="13"/>
  <c r="J16" i="1" s="1"/>
  <c r="N4" i="13"/>
  <c r="I16" i="1" s="1"/>
  <c r="O3" i="13"/>
  <c r="J10" i="1" s="1"/>
  <c r="J11" i="1" s="1"/>
  <c r="J12" i="1" s="1"/>
  <c r="N3" i="13"/>
  <c r="I10" i="1" s="1"/>
  <c r="I11" i="1" s="1"/>
  <c r="I12" i="1" s="1"/>
  <c r="L3" i="13"/>
  <c r="G10" i="1" s="1"/>
  <c r="G11" i="1" s="1"/>
  <c r="G12" i="1" s="1"/>
  <c r="L6" i="13"/>
  <c r="N6" i="13" s="1"/>
  <c r="Q5" i="13"/>
  <c r="AA5" i="13" s="1"/>
  <c r="P5" i="13"/>
  <c r="Z5" i="13" s="1"/>
  <c r="M5" i="13"/>
  <c r="L5" i="13"/>
  <c r="Q4" i="13"/>
  <c r="X4" i="13" s="1"/>
  <c r="P4" i="13"/>
  <c r="W4" i="13" s="1"/>
  <c r="M4" i="13"/>
  <c r="L4" i="13"/>
  <c r="Q3" i="13"/>
  <c r="U3" i="13" s="1"/>
  <c r="P3" i="13"/>
  <c r="T3" i="13" s="1"/>
  <c r="M3" i="13"/>
  <c r="T2" i="13" l="1"/>
  <c r="U2" i="13"/>
  <c r="H10" i="1"/>
  <c r="H11" i="1" s="1"/>
  <c r="H12" i="1" s="1"/>
  <c r="W3" i="13"/>
  <c r="G16" i="1"/>
  <c r="X3" i="13"/>
  <c r="H16" i="1"/>
  <c r="Z4" i="13"/>
  <c r="G26" i="1"/>
  <c r="AA4" i="13"/>
  <c r="H26" i="1"/>
  <c r="G7" i="1"/>
  <c r="G8" i="1" l="1"/>
  <c r="G9" i="1" s="1"/>
  <c r="H7" i="1"/>
  <c r="E34" i="1"/>
  <c r="E33" i="1"/>
  <c r="N20" i="2"/>
  <c r="O20" i="2" s="1"/>
  <c r="K20" i="2"/>
  <c r="J17" i="2"/>
  <c r="E24" i="1"/>
  <c r="D24" i="1"/>
  <c r="F8" i="1"/>
  <c r="F9" i="1" s="1"/>
  <c r="E8" i="1"/>
  <c r="E9" i="1" s="1"/>
  <c r="D8" i="1"/>
  <c r="J18" i="2"/>
  <c r="F11" i="1"/>
  <c r="F12" i="1" s="1"/>
  <c r="E11" i="1"/>
  <c r="E12" i="1" s="1"/>
  <c r="D12" i="1"/>
  <c r="D9" i="1" l="1"/>
  <c r="D32" i="1"/>
  <c r="D31" i="1"/>
  <c r="F34" i="1"/>
  <c r="F32" i="1" s="1"/>
  <c r="E32" i="1"/>
  <c r="F33" i="1"/>
  <c r="F31" i="1" s="1"/>
  <c r="E31" i="1"/>
  <c r="G32" i="1"/>
  <c r="J22" i="2"/>
  <c r="J16" i="2"/>
  <c r="G31" i="1"/>
  <c r="D23" i="1"/>
  <c r="D30" i="1"/>
  <c r="G23" i="1"/>
  <c r="G30" i="1"/>
  <c r="H8" i="1"/>
  <c r="H30" i="1" s="1"/>
  <c r="I7" i="1"/>
  <c r="K19" i="2"/>
  <c r="I19" i="2"/>
  <c r="F25" i="1"/>
  <c r="F24" i="1"/>
  <c r="H32" i="1" l="1"/>
  <c r="H31" i="1"/>
  <c r="I8" i="1"/>
  <c r="I9" i="1" s="1"/>
  <c r="J7" i="1"/>
  <c r="H9" i="1"/>
  <c r="H23" i="1"/>
  <c r="E27" i="1"/>
  <c r="P20" i="2"/>
  <c r="F27" i="1" s="1"/>
  <c r="E30" i="1"/>
  <c r="J8" i="1" l="1"/>
  <c r="J9" i="1" s="1"/>
  <c r="J32" i="1"/>
  <c r="I32" i="1"/>
  <c r="I31" i="1"/>
  <c r="I27" i="1"/>
  <c r="J27" i="1"/>
  <c r="F6" i="13"/>
  <c r="E23" i="1"/>
  <c r="J26" i="1"/>
  <c r="J23" i="1" s="1"/>
  <c r="I26" i="1"/>
  <c r="E6" i="13"/>
  <c r="J31" i="1" l="1"/>
  <c r="I23" i="1"/>
  <c r="I30" i="1"/>
  <c r="J30" i="1"/>
  <c r="F23" i="1"/>
  <c r="F30" i="1"/>
</calcChain>
</file>

<file path=xl/sharedStrings.xml><?xml version="1.0" encoding="utf-8"?>
<sst xmlns="http://schemas.openxmlformats.org/spreadsheetml/2006/main" count="362" uniqueCount="255">
  <si>
    <t>Year</t>
  </si>
  <si>
    <t>Lower (%)</t>
  </si>
  <si>
    <t>Upper (%)</t>
  </si>
  <si>
    <t>Technical Data</t>
  </si>
  <si>
    <t>Ref</t>
  </si>
  <si>
    <t>Energy/technical data</t>
  </si>
  <si>
    <t>Form of energy stored</t>
  </si>
  <si>
    <t>Application</t>
  </si>
  <si>
    <t>Energy storage capacity for one unit (MWh)</t>
  </si>
  <si>
    <t>[1]</t>
  </si>
  <si>
    <t>Output capacity for one unit (MW)*</t>
  </si>
  <si>
    <t>Input capacity for one unit (MW)*</t>
  </si>
  <si>
    <t>Round trip efficiency (%)</t>
  </si>
  <si>
    <t>[2], [3], [4], [5], [6]</t>
  </si>
  <si>
    <t xml:space="preserve"> - Discharge efficiency (%)</t>
  </si>
  <si>
    <t>[3]</t>
  </si>
  <si>
    <t>Energy losses during storage (%/day)</t>
  </si>
  <si>
    <t>Forced outage (%)</t>
  </si>
  <si>
    <t>A</t>
  </si>
  <si>
    <t>[2]</t>
  </si>
  <si>
    <t>Planned outage (weeks per year)</t>
  </si>
  <si>
    <t>[2], [4]</t>
  </si>
  <si>
    <t>Technical lifetime (years)</t>
  </si>
  <si>
    <t>[2], [3], [4]</t>
  </si>
  <si>
    <t>Construction time (years)</t>
  </si>
  <si>
    <t>B</t>
  </si>
  <si>
    <t>Regulation ability</t>
  </si>
  <si>
    <t>Response time from idle to full-rated discharge (sec)</t>
  </si>
  <si>
    <t>C</t>
  </si>
  <si>
    <t>Response time from full-rated charge to full-rated  discharge (sec)</t>
  </si>
  <si>
    <t>Financial data</t>
  </si>
  <si>
    <t>Specific investment (MUSD2020 per MWh)</t>
  </si>
  <si>
    <t>D</t>
  </si>
  <si>
    <t>E</t>
  </si>
  <si>
    <t xml:space="preserve"> capacity component (MUSD2020 per MW)</t>
  </si>
  <si>
    <t>F</t>
  </si>
  <si>
    <t xml:space="preserve"> - other project costs (MUSD/MWh)</t>
  </si>
  <si>
    <t>G</t>
  </si>
  <si>
    <t>[8]</t>
  </si>
  <si>
    <t>Variable O&amp;M (USD2020/kWh/year)</t>
  </si>
  <si>
    <t xml:space="preserve">Technology specific data                                 </t>
  </si>
  <si>
    <t>Lifetime in total number of cycles</t>
  </si>
  <si>
    <t>Specific power (W/kg)</t>
  </si>
  <si>
    <t>Power density (W/m3)</t>
  </si>
  <si>
    <t>Specific energy (Wh/kg)</t>
  </si>
  <si>
    <t>Energy density (Wh/m3)</t>
  </si>
  <si>
    <t>References</t>
  </si>
  <si>
    <t>IRENA (2017). Electricity storage and renewables: Costs and markets to 2030. Cost of service tool. Available in: https://www.irena.org/publications/2017/Oct/Electricity-storage-and-renewables-costs-and-markets</t>
  </si>
  <si>
    <t>Luo, X., Wang, J., Dooner, M., &amp; Clarke, J. (2015). Overview of current development in electrical energy storage technologies and the application potential in power system operation. Applied Energy, 137, 511–536. https://doi.org/https://doi.org/10.1016/j.apenergy.2014.09.081</t>
  </si>
  <si>
    <t>[4]</t>
  </si>
  <si>
    <t>International Renewable Energy Agency. Electricity Storage and Renewables : Costs and Markets To 2030, (2017). http://www.irena.org/publications/2017/Oct/Electricity-storage-and-renewables-costs-and-markets</t>
  </si>
  <si>
    <t>[5]</t>
  </si>
  <si>
    <t>[6]</t>
  </si>
  <si>
    <t>Schmidt, O., Melchior, S., Hawkes, A., &amp; Staffell, I. (2019). Projecting the Future Levelized Cost of Electricity Storage Technologies. Joule, 3(1), 81–100. https://doi.org/10.1016/j.joule.2018.12.008</t>
  </si>
  <si>
    <t>[7]</t>
  </si>
  <si>
    <t>30 - 20</t>
  </si>
  <si>
    <t>[1], Table 3</t>
  </si>
  <si>
    <t>Fixed O&amp;M (kUSD/MW/year)</t>
  </si>
  <si>
    <t>[8], [2]</t>
  </si>
  <si>
    <t>ABB</t>
  </si>
  <si>
    <t>ESC</t>
  </si>
  <si>
    <t>OCO</t>
  </si>
  <si>
    <t>ICO</t>
  </si>
  <si>
    <t>RTE</t>
  </si>
  <si>
    <t>CE</t>
  </si>
  <si>
    <t>DE</t>
  </si>
  <si>
    <t>ELS</t>
  </si>
  <si>
    <t>FO</t>
  </si>
  <si>
    <t>PO</t>
  </si>
  <si>
    <t>TL</t>
  </si>
  <si>
    <t>CT</t>
  </si>
  <si>
    <t>RTI</t>
  </si>
  <si>
    <t>RTF</t>
  </si>
  <si>
    <t>SI</t>
  </si>
  <si>
    <t>EC</t>
  </si>
  <si>
    <t>CC</t>
  </si>
  <si>
    <t>OPC</t>
  </si>
  <si>
    <t>FOM</t>
  </si>
  <si>
    <t>VOM</t>
  </si>
  <si>
    <t>AIC</t>
  </si>
  <si>
    <t>LTN</t>
  </si>
  <si>
    <t>SP</t>
  </si>
  <si>
    <t>PD</t>
  </si>
  <si>
    <t>SE</t>
  </si>
  <si>
    <t>ED</t>
  </si>
  <si>
    <t>NOTE</t>
  </si>
  <si>
    <r>
      <t xml:space="preserve">Danish Energy Agency. (2019). </t>
    </r>
    <r>
      <rPr>
        <i/>
        <sz val="10"/>
        <color theme="1"/>
        <rFont val="Montserrat Medium"/>
        <family val="3"/>
      </rPr>
      <t>Technogy Data for Energy Storage</t>
    </r>
    <r>
      <rPr>
        <sz val="10"/>
        <color theme="1"/>
        <rFont val="Montserrat Medium"/>
        <family val="3"/>
      </rPr>
      <t>. Copenhagen, Denmark. Retrieved from https://ens.dk/sites/ens.dk/files/Analyser/technology_data_catalogue_for_energy_storage.pdf</t>
    </r>
  </si>
  <si>
    <r>
      <t xml:space="preserve">Lai, C. S., Jia, Y., Lai, L. L., Xu, Z., McCulloch, M. D., &amp; Wong, K. P. (2017). A comprehensive review on large-scale photovoltaic system with applications of electrical energy storage.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78</t>
    </r>
    <r>
      <rPr>
        <sz val="10"/>
        <color theme="1"/>
        <rFont val="Montserrat Medium"/>
        <family val="3"/>
      </rPr>
      <t>, 439–451</t>
    </r>
  </si>
  <si>
    <r>
      <t xml:space="preserve">EASE/EERA. (2013). </t>
    </r>
    <r>
      <rPr>
        <i/>
        <sz val="10"/>
        <color theme="1"/>
        <rFont val="Montserrat Medium"/>
        <family val="3"/>
      </rPr>
      <t>European Energy Storage Technology Development Roadmap Toward 2030</t>
    </r>
    <r>
      <rPr>
        <sz val="10"/>
        <color theme="1"/>
        <rFont val="Montserrat Medium"/>
        <family val="3"/>
      </rPr>
      <t>. Retrieved from https://www.eera-set.eu/wp-content/uploads/148885-EASE-recommendations-Roadmap-04.pdf</t>
    </r>
  </si>
  <si>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</si>
  <si>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r>
      <t xml:space="preserve">Alternative Investment Cost </t>
    </r>
    <r>
      <rPr>
        <sz val="10"/>
        <color theme="1"/>
        <rFont val="Montserrat Medium"/>
        <family val="3"/>
      </rPr>
      <t>(MUSD2015 per MW)</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</si>
  <si>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</si>
  <si>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</si>
  <si>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</si>
  <si>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</si>
  <si>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</si>
  <si>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</si>
  <si>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</si>
  <si>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</si>
  <si>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</si>
  <si>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</si>
  <si>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</si>
  <si>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</si>
  <si>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</si>
  <si>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</si>
  <si>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</si>
  <si>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</si>
  <si>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rPr>
        <b/>
        <sz val="10"/>
        <color theme="1"/>
        <rFont val="Montserrat Medium"/>
        <family val="3"/>
      </rPr>
      <t>Other Project Costs</t>
    </r>
    <r>
      <rPr>
        <sz val="10"/>
        <color theme="1"/>
        <rFont val="Montserrat Medium"/>
        <family val="3"/>
      </rPr>
      <t xml:space="preserve"> (MUSD/MWh)</t>
    </r>
  </si>
  <si>
    <r>
      <t xml:space="preserve">Fixed O&amp;M </t>
    </r>
    <r>
      <rPr>
        <sz val="10"/>
        <color theme="1"/>
        <rFont val="Montserrat Medium"/>
        <family val="3"/>
      </rPr>
      <t>(kUSD2020/MW/year)</t>
    </r>
  </si>
  <si>
    <r>
      <t xml:space="preserve">Variable O&amp;M </t>
    </r>
    <r>
      <rPr>
        <sz val="10"/>
        <color theme="1"/>
        <rFont val="Montserrat Medium"/>
        <family val="3"/>
      </rPr>
      <t>(MUSD2020/MW/year)</t>
    </r>
  </si>
  <si>
    <r>
      <t xml:space="preserve">Other Project Cost </t>
    </r>
    <r>
      <rPr>
        <sz val="10"/>
        <color theme="1"/>
        <rFont val="Montserrat Medium"/>
        <family val="3"/>
      </rPr>
      <t>(MUSD/MWh)</t>
    </r>
  </si>
  <si>
    <r>
      <t xml:space="preserve">Fixed O&amp;M </t>
    </r>
    <r>
      <rPr>
        <sz val="10"/>
        <color theme="1"/>
        <rFont val="Montserrat Medium"/>
        <family val="3"/>
      </rPr>
      <t>(MUSD2020/MW/year)</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</si>
  <si>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</si>
  <si>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</si>
  <si>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 xml:space="preserve">Input capacity for one unit </t>
    </r>
    <r>
      <rPr>
        <sz val="10"/>
        <color theme="1"/>
        <rFont val="Montserrat Medium"/>
        <family val="3"/>
      </rPr>
      <t>(MW)</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</si>
  <si>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</si>
  <si>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</si>
  <si>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</si>
  <si>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</si>
  <si>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</si>
  <si>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(MUSD2020 per MWh)</t>
    </r>
  </si>
  <si>
    <r>
      <t xml:space="preserve">  -Energy component </t>
    </r>
    <r>
      <rPr>
        <sz val="10"/>
        <color theme="1"/>
        <rFont val="Montserrat Medium"/>
        <family val="3"/>
      </rPr>
      <t>(MUSD2020/MWh)</t>
    </r>
  </si>
  <si>
    <r>
      <t xml:space="preserve">  -Capacity component </t>
    </r>
    <r>
      <rPr>
        <sz val="10"/>
        <color theme="1"/>
        <rFont val="Montserrat Medium"/>
        <family val="3"/>
      </rPr>
      <t>(MUSD2020/MW)</t>
    </r>
  </si>
  <si>
    <r>
      <t xml:space="preserve">Variable O&amp;M </t>
    </r>
    <r>
      <rPr>
        <sz val="10"/>
        <color theme="1"/>
        <rFont val="Montserrat Medium"/>
        <family val="3"/>
      </rPr>
      <t>(USD2020/MWh/year)</t>
    </r>
  </si>
  <si>
    <r>
      <t xml:space="preserve">Alternative investment cost </t>
    </r>
    <r>
      <rPr>
        <sz val="10"/>
        <color theme="1"/>
        <rFont val="Montserrat Medium"/>
        <family val="3"/>
      </rPr>
      <t>(MUSD2020 per MW)</t>
    </r>
  </si>
  <si>
    <r>
      <t xml:space="preserve">Specific power </t>
    </r>
    <r>
      <rPr>
        <sz val="10"/>
        <color theme="1"/>
        <rFont val="Montserrat Medium"/>
        <family val="3"/>
      </rPr>
      <t>(W/kg)</t>
    </r>
  </si>
  <si>
    <r>
      <t xml:space="preserve">Power density </t>
    </r>
    <r>
      <rPr>
        <sz val="10"/>
        <color theme="1"/>
        <rFont val="Montserrat Medium"/>
        <family val="3"/>
      </rPr>
      <t>(kW/m3)</t>
    </r>
  </si>
  <si>
    <r>
      <t>Specific energy</t>
    </r>
    <r>
      <rPr>
        <sz val="10"/>
        <color theme="1"/>
        <rFont val="Montserrat Medium"/>
        <family val="3"/>
      </rPr>
      <t xml:space="preserve"> (Wh/kg)</t>
    </r>
  </si>
  <si>
    <r>
      <t xml:space="preserve">Energy density </t>
    </r>
    <r>
      <rPr>
        <sz val="10"/>
        <color theme="1"/>
        <rFont val="Montserrat Medium"/>
        <family val="3"/>
      </rPr>
      <t>(kWh/m3)</t>
    </r>
  </si>
  <si>
    <r>
      <t xml:space="preserve"> - </t>
    </r>
    <r>
      <rPr>
        <b/>
        <i/>
        <sz val="10"/>
        <color theme="1"/>
        <rFont val="Montserrat Medium"/>
        <family val="3"/>
      </rPr>
      <t>Charge efficiency (%)</t>
    </r>
  </si>
  <si>
    <r>
      <t xml:space="preserve"> - Discharge efficiency </t>
    </r>
    <r>
      <rPr>
        <i/>
        <sz val="10"/>
        <color theme="1"/>
        <rFont val="Montserrat Medium"/>
        <family val="3"/>
      </rPr>
      <t>(%)</t>
    </r>
  </si>
  <si>
    <t>[2-6]</t>
  </si>
  <si>
    <t>[2, 4]</t>
  </si>
  <si>
    <t>Alternative Investment cost (M$USD2020/MW)</t>
  </si>
  <si>
    <r>
      <t xml:space="preserve"> - </t>
    </r>
    <r>
      <rPr>
        <i/>
        <sz val="9"/>
        <color theme="1"/>
        <rFont val="Montserrat Medium"/>
        <family val="3"/>
      </rPr>
      <t>Charge efficiency (%)</t>
    </r>
  </si>
  <si>
    <r>
      <t xml:space="preserve"> energy component </t>
    </r>
    <r>
      <rPr>
        <sz val="9"/>
        <color rgb="FF000000"/>
        <rFont val="Montserrat Medium"/>
        <family val="3"/>
      </rPr>
      <t>(MUSD2020 per MWh)</t>
    </r>
  </si>
  <si>
    <t>Tecnología</t>
  </si>
  <si>
    <t>Datos de energía/tecnicos</t>
  </si>
  <si>
    <t>Forma de energía almacenada</t>
  </si>
  <si>
    <t xml:space="preserve">Aplicación </t>
  </si>
  <si>
    <t>Capacidad de almacenamiento por unidad (MWh)</t>
  </si>
  <si>
    <t>Capacidad de inyección/descarga por unidad (MW)</t>
  </si>
  <si>
    <t>Eficiencia de carga (%)</t>
  </si>
  <si>
    <t>Eficiencia de descarga (%)</t>
  </si>
  <si>
    <t>Perdida de energía durante el almacenamiento (%/día)</t>
  </si>
  <si>
    <t>Interrupción forzada (%)</t>
  </si>
  <si>
    <t>Interrupción planificada (Semanas por año)</t>
  </si>
  <si>
    <t>Tiempo de vida técnico (años)</t>
  </si>
  <si>
    <t>Tiempo de construcción (años)</t>
  </si>
  <si>
    <t>Tiempo de vida técnico (número total de ciclos)</t>
  </si>
  <si>
    <t>Habilidad de regulación</t>
  </si>
  <si>
    <t>Datos Financieros</t>
  </si>
  <si>
    <t>Componente de energía de la inversión especifica (MUSD/MWh)</t>
  </si>
  <si>
    <t>Componente de capacidad de la inversión especifica (MUSD/MWh)</t>
  </si>
  <si>
    <t>Datos especifico por tecnologia</t>
  </si>
  <si>
    <t>Eficiencia de ciclo (%)</t>
  </si>
  <si>
    <t xml:space="preserve"> -otros costos del proyecto (MUSD/MWh)</t>
  </si>
  <si>
    <t>Costo de inversión alternativa (M$USD2020/MW)</t>
  </si>
  <si>
    <t>Poder especifico (W/kg)</t>
  </si>
  <si>
    <t>Densidad de poder (W/m3)</t>
  </si>
  <si>
    <t>Energía específica (Wh/kg)</t>
  </si>
  <si>
    <t>Densidad de energia (Wh/m3)</t>
  </si>
  <si>
    <t>Tecnology</t>
  </si>
  <si>
    <t>Incertidumbre (2020)</t>
  </si>
  <si>
    <t>Incertidumbre (2030)</t>
  </si>
  <si>
    <t>Nota</t>
  </si>
  <si>
    <t>Batería Redox de Vanadio (VRB)</t>
  </si>
  <si>
    <t>Baja</t>
  </si>
  <si>
    <t>Alta</t>
  </si>
  <si>
    <t>promedio</t>
  </si>
  <si>
    <t>Notas:</t>
  </si>
  <si>
    <t>Algunas empresas garantizan al menos un 99,5% de tiempo de actividad</t>
  </si>
  <si>
    <t>Depende mucho de la instalación.</t>
  </si>
  <si>
    <t>El tiempo es inferior a 100 ms para una situación inactiva con electrolito en la pila de reacción y bombas encendidas. Menos de 1 s si primero se debe bombear electrolito. Menos de 1 min si las bombas no están encendidas. PCS podría estar limitando el tiempo de respuesta. [2]</t>
  </si>
  <si>
    <t>Estos datos se interpretan dentro de la herramienta IRENA como: "Costo de instalación de energía + (Costo de instalación de energía / 4 h)".</t>
  </si>
  <si>
    <t>Estos datos se interpretan dentro de la herramienta IRENA como: "Costo de instalación de energía".</t>
  </si>
  <si>
    <t>Valor para instalaciones de T&amp;D de servicios públicos con un tiempo de descarga de 4 horas utilizadas.</t>
  </si>
  <si>
    <t>El valor de 2020 se toma de [8], mientras que las proyecciones siguen la disminución relativa de los costos de [2], basadas en el valor del 2020.</t>
  </si>
  <si>
    <t>Datos tecnicos</t>
  </si>
  <si>
    <t>Perdida de Energía durante el almacenamiento (%/día)</t>
  </si>
  <si>
    <t>Tiempo de respuesta del estado inactivo a la descarga completa (seg)</t>
  </si>
  <si>
    <t>Tiempo de respuesta desde la carga nominal completa hasta la descarga nominal completa (seg)</t>
  </si>
  <si>
    <t>Otros costos del Proyecto (MUSD/MWh)</t>
  </si>
  <si>
    <t>Costos Variables de Operación y Mantenimiento (MUSD2020/MW/año)</t>
  </si>
  <si>
    <t>Costos Fijos de Operación y Mantenimiento (kUSD2020/MW/año)</t>
  </si>
  <si>
    <t>Costo de inversión alternativo (MUSD2015/ MW)</t>
  </si>
  <si>
    <t>Vida útil en número total de ciclos</t>
  </si>
  <si>
    <t>Poder especifíco (W/kg)</t>
  </si>
  <si>
    <t>Densidad de poder (W/L)</t>
  </si>
  <si>
    <t>Energía específica  (Wh/kg)</t>
  </si>
  <si>
    <t>Densidad de energía (Wh/L)</t>
  </si>
  <si>
    <r>
      <t xml:space="preserve">Specific power </t>
    </r>
    <r>
      <rPr>
        <sz val="10"/>
        <color rgb="FF000000"/>
        <rFont val="Montserrat Medium"/>
      </rPr>
      <t>(W/kg)</t>
    </r>
  </si>
  <si>
    <r>
      <t xml:space="preserve">Power density </t>
    </r>
    <r>
      <rPr>
        <sz val="10"/>
        <color rgb="FF000000"/>
        <rFont val="Montserrat Medium"/>
      </rPr>
      <t>(W/L)</t>
    </r>
  </si>
  <si>
    <r>
      <t xml:space="preserve">Specific energy </t>
    </r>
    <r>
      <rPr>
        <sz val="10"/>
        <color rgb="FF000000"/>
        <rFont val="Montserrat Medium"/>
      </rPr>
      <t>(Wh/kg)</t>
    </r>
  </si>
  <si>
    <r>
      <t xml:space="preserve">Energy density </t>
    </r>
    <r>
      <rPr>
        <sz val="10"/>
        <color rgb="FF000000"/>
        <rFont val="Montserrat Medium"/>
      </rPr>
      <t>(Wh/L)</t>
    </r>
  </si>
  <si>
    <t>Tasa de cambio entre los años 2030 y 2020</t>
  </si>
  <si>
    <t>Tasa de cambio entre los años 2050 y 2030</t>
  </si>
  <si>
    <t>Procedimiento seguido para determinar la proyección</t>
  </si>
  <si>
    <t>Referencia</t>
  </si>
  <si>
    <t>Proyección de acuerdo con el tipo de cambio  (2020-2030 y 2030-2050)</t>
  </si>
  <si>
    <t>1. La tendencia de los datos para estos parámetros (en este caso constante) se identificó en la referencia [2] para baterías VRB.
2. Los datos de los años 2016, 2020, 2025 y 2030 se obtuvieron de [1] y se ubican dentro de la herramienta IRENA como "Capacidad de almacenamiento utilizable" y "Almacenamiento instalado".</t>
  </si>
  <si>
    <t>1. La tendencia de los datos para estos parámetros (en este caso constante) se identificó en la referencia [2] para baterías VRB.
2. Los datos de los años 2020, 2030 y 2050 se obtuvieron de [2].</t>
  </si>
  <si>
    <t>2. Los datos de los años 2020, 2030 y 2050 se obtuvieron de [2].</t>
  </si>
  <si>
    <t>1. Los datos para 2020 son tipos de datos puntuales para este año, los datos históricos no están disponibles. 2. Las proyecciones tienen un comportamiento numérico similar a la hoja de datos del Catálogo DEA</t>
  </si>
  <si>
    <t>Eficiencia de ciclo completo (%)</t>
  </si>
  <si>
    <t>Pérdidas de energía durante el almacenamiento (% / día)</t>
  </si>
  <si>
    <t>Densidad de energía (kWh/m3)</t>
  </si>
  <si>
    <t>Densidad de poder (kW/m3)</t>
  </si>
  <si>
    <t>Costo de inversión alternativo (MUSD2020/ MW)</t>
  </si>
  <si>
    <t>Componente de energía de la inversión especifica (MUSD2020/MWh)</t>
  </si>
  <si>
    <t>Tiempo de respuesta desde inactivo hasta descarga nominal completa (seg)</t>
  </si>
  <si>
    <t>Interrupción planificada (semanas por año)</t>
  </si>
  <si>
    <t>NOTA</t>
  </si>
  <si>
    <t>2020 (Incertidumbre)</t>
  </si>
  <si>
    <t>2050 (Incertidumbre)</t>
  </si>
  <si>
    <t>Tasa de cambio 2020</t>
  </si>
  <si>
    <t>Tasa de cambio 2030</t>
  </si>
  <si>
    <t>Tasa de cambio 2050</t>
  </si>
  <si>
    <t>1. La incertidumbre se calcula con el comportamiento numérico similar de [1].
2. La tasa de cambio para 2030 se estima mediante regresión lineal entre la tasa de cambio 2020 y 2050.</t>
  </si>
  <si>
    <t>1. La incertidumbre de estos parámetros es la misma que [2] porque el diseño se basa en las mismas capacidades operativas del sistema de almacenamiento de energía.</t>
  </si>
  <si>
    <t>1. La incertidumbre para estos parámetros es la misma que [8] porque el diseño se basa en las mismas capacidades operativas del sistema de almacenamiento de energía.</t>
  </si>
  <si>
    <t>Componente de capacidad de la inversión especifica (MUSD/MW)</t>
  </si>
  <si>
    <t>Componente de energía de la inversión especifica (MUSD2015/MWh)</t>
  </si>
  <si>
    <t>Inversión especifica (MUSD2015 / MWh)</t>
  </si>
  <si>
    <t>Inversión especifica (MUSD2020 / MWh)</t>
  </si>
  <si>
    <t>Costos Variables de Operación y Mantenimiento (USD2020/kWh/año)</t>
  </si>
  <si>
    <t>Tiempo de respuesta desde inactivo hasta descarga nominal completa (seg.)</t>
  </si>
  <si>
    <t>Capacidad de inyección/descarga por unidad (MW)*</t>
  </si>
  <si>
    <t>Reserva de contención de frecuencia (4h)</t>
  </si>
  <si>
    <t>Proyección de acuerdo con el tipo de cambio  (2030-2020 y 2050-2030)</t>
  </si>
  <si>
    <t>Costos Fijos de Operación y Mantenimiento (MUSD2020/MW/año)</t>
  </si>
  <si>
    <t>Componente de capacidad de la inversión especifica (MUSD2020/MW)</t>
  </si>
  <si>
    <t>Costos Variables de Operación y Mantenimiento (MUSD2020/MWh/año)</t>
  </si>
  <si>
    <t>Capacidad de entrada por unidad (MW)</t>
  </si>
  <si>
    <t>Capacidad de entrada por unidad (MW)*</t>
  </si>
  <si>
    <t>1. Los datos del año 2020 son la media de varios autores [2-6]. 
2. Se considera que estos parámetros no tendrán variación en el período 2030-2050 debido a su madurez tecnológica.</t>
  </si>
  <si>
    <t>1. Estos datos técnicos se calcularon con una ecuación para la eficiencia de ida y vuelta. 
2. En el capítulo de Introducción del Catálogo, se define la ecuación de Eficiencia de Ida y Vuelta.</t>
  </si>
  <si>
    <t>1. La tendencia de los datos para estos parámetros (en este caso constante) se identificó en la referencia [2] para baterías VRB. 
2. Los datos de los años 2016, 2020, 2025 y 2030 se obtuvieron de [1] y se ubica dentro de la herramienta IRENA como "Autodescarga"</t>
  </si>
  <si>
    <t>1. Los datos del año 2020 son la media de varios autores [2, 4]. 
2. Se considera que estos parámetros no tendrán variación en el período 2030-2050 debido a su madurez tecnológica.</t>
  </si>
  <si>
    <t>1. La tendencia de los datos para estos parámetros (en este caso constante) se identificó en la referencia [2] VRB para baterías.
2. Los datos de 2020 son el promedio de varios autores (como se muestra [2-4])</t>
  </si>
  <si>
    <t>1. La tendencia de los datos para estos parámetros (en este caso constante) se identificó en la referencia [2] para baterías.
2. Los datos de los años 2020, 2030 y 2050 se obtuvieron de [2].</t>
  </si>
  <si>
    <t>1. Los datos de este parámetro se calcularon con una ecuación de Inversión Específica.
2. En el capítulo de Introducción del Catálogo, se define la ecuación de Inversión Específica.</t>
  </si>
  <si>
    <r>
      <t>1.Los datos de los años 2016, 2020, 2025 y 2030 se obtuvieron de [1]. 
2. Estos datos se encuentran dentro de la herramienta IRENA como "Costo de instalación de energía" y "Costo de instalación de energía". 
3. La proyección exponencial se determina en la aleta inferior denominada</t>
    </r>
    <r>
      <rPr>
        <b/>
        <sz val="10"/>
        <color theme="1"/>
        <rFont val="Montserrat Medium"/>
      </rPr>
      <t xml:space="preserve"> 17_EC y 18_CC</t>
    </r>
  </si>
  <si>
    <t>1. La tendencia de los datos para estos parámetros (en este caso disminución exponencial) se identificó en la referencia [2] para baterías VRB.
2. Los datos de los años 2020, 2030 y 2050 se obtuvieron de [2].</t>
  </si>
  <si>
    <t>1. Los datos de los años 2020, 2030 y 2050 se muestran en estas hojas de [2].
2. Los datos seleccionados para 2020 son tipos de datos puntuales de [8] (consulte la Tabla A9). 
3. Las proyecciones tienen un comportamiento numérico similar a [2] con la tasa de cambio estimada aplicada para estimar la proyección del valor de [8].</t>
  </si>
  <si>
    <t>1. Estos datos se calcularon con una ecuación de costo de inversión alternativo (consulte la hoja NaS). 
2. En el capítulo de Introducción del Catálogo, se define la ecuación de Costo de Inversión Alternativa.</t>
  </si>
  <si>
    <t>1. La tendencia de los datos para estos parámetros (en este caso constante) se identificó en la referencia [2] para baterías VRB. 
2. Los datos de los años 2016, 2020, 2025 y 2030 se obtuvieron de [1] y se ubican dentro de la herramienta IRENA como "Ciclo de vida"</t>
  </si>
  <si>
    <t>1. Estos datos técnicos se calcularon con una ecuación de potencia específica (ver hoja LA). 
2. En el capítulo de Introducción del Catálogo, se define la ecuación de Poder Específico.</t>
  </si>
  <si>
    <t>1. La incertidumbre de estos parámetros es la misma que [1] porque el diseño se basa en las mismas capacidades operativas del sistema de almacenamiento de energía. 
2. Estos datos se encuentran dentro de la herramienta IRENA como "Capacidad de almacenamiento utilizable" y "Potencia de almacenamiento instalada".</t>
  </si>
  <si>
    <t>1. Estos datos técnicos se calcularon con una ecuación para la eficiencia de ida y vuelta.
2. En el capítulo de Introducción del Catálogo, se define la ecuación de Eficiencia de Ida y Vuelta.</t>
  </si>
  <si>
    <t>1. La incertidumbre de estos parámetros es la misma que [1] porque el diseño se basa en las mismas capacidades operativas del sistema de almacenamiento de energía.
2. Estos datos se encuentran dentro de la herramienta IRENA como "Autodescarga".</t>
  </si>
  <si>
    <t>1. Los datos de este parámetro se calcularon con una ecuación de Inversión Específica. 
2. En el capítulo de Introducción del Catálogo, se define la ecuación de Inversión Específica.</t>
  </si>
  <si>
    <t>1. La incertidumbre de estos parámetros es la misma que [1] porque el diseño se basa en las mismas capacidades operativas del sistema de almacenamiento de energía. 
2. Estos datos se encuentran dentro de la herramienta IRENA como "Costo de instalación de energía" y "Costo de instalación de energía".</t>
  </si>
  <si>
    <t>1. La incertidumbre de estos parámetros es la misma que [1] porque el diseño se basa en las mismas capacidades operativas del sistema de almacenamiento de energía. 
2. Estos datos se encuentran dentro de la herramienta IRENA como "Ciclo de vida".</t>
  </si>
  <si>
    <t>1. Estos datos técnicos se calcularon con una ecuación de potencia específica (ver hoja LA).
2. En el capítulo de Introducción del Catálogo, se define la ecuación de Poder Específico.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</si>
</sst>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000"/>
    <numFmt numFmtId="166" formatCode="0.0"/>
    <numFmt numFmtId="167" formatCode="0.000"/>
  </numFmts>
  <fonts count="35" x14ac:knownFonts="1">
    <font>
      <sz val="11"/>
      <color theme="1"/>
      <name val="Calibri"/>
      <family val="2"/>
      <scheme val="minor"/>
    </font>
    <font>
      <sz val="11"/>
      <color theme="1"/>
      <name val="Calibri"/>
      <family val="2"/>
      <scheme val="minor"/>
    </font>
    <font>
      <sz val="10"/>
      <name val="Helv"/>
    </font>
    <font>
      <u/>
      <sz val="10"/>
      <color indexed="12"/>
      <name val="Arial"/>
      <family val="2"/>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b/>
      <sz val="8"/>
      <color theme="1"/>
      <name val="Montserrat Medium"/>
      <family val="3"/>
    </font>
    <font>
      <sz val="11"/>
      <color theme="1"/>
      <name val="Montserrat Medium"/>
      <family val="3"/>
    </font>
    <font>
      <sz val="8"/>
      <color theme="1"/>
      <name val="Montserrat Medium"/>
      <family val="3"/>
    </font>
    <font>
      <sz val="8"/>
      <name val="Montserrat Medium"/>
      <family val="3"/>
    </font>
    <font>
      <b/>
      <sz val="8"/>
      <color rgb="FF000000"/>
      <name val="Montserrat Medium"/>
      <family val="3"/>
    </font>
    <font>
      <sz val="9"/>
      <color theme="1"/>
      <name val="Montserrat Medium"/>
      <family val="3"/>
    </font>
    <font>
      <b/>
      <sz val="9"/>
      <color theme="1"/>
      <name val="Montserrat Medium"/>
      <family val="3"/>
    </font>
    <font>
      <b/>
      <sz val="10"/>
      <color theme="1"/>
      <name val="Montserrat Medium"/>
      <family val="3"/>
    </font>
    <font>
      <sz val="10"/>
      <color theme="1"/>
      <name val="Montserrat Medium"/>
      <family val="3"/>
    </font>
    <font>
      <sz val="10"/>
      <name val="Montserrat Medium"/>
      <family val="3"/>
    </font>
    <font>
      <i/>
      <sz val="10"/>
      <color theme="1"/>
      <name val="Montserrat Medium"/>
      <family val="3"/>
    </font>
    <font>
      <b/>
      <sz val="10"/>
      <color rgb="FF000000"/>
      <name val="Montserrat Medium"/>
      <family val="3"/>
    </font>
    <font>
      <b/>
      <sz val="10"/>
      <name val="Montserrat Medium"/>
      <family val="3"/>
    </font>
    <font>
      <b/>
      <sz val="11"/>
      <color theme="1"/>
      <name val="Montserrat Medium"/>
      <family val="3"/>
    </font>
    <font>
      <b/>
      <i/>
      <sz val="10"/>
      <color theme="1"/>
      <name val="Montserrat Medium"/>
      <family val="3"/>
    </font>
    <font>
      <sz val="9"/>
      <name val="Montserrat Medium"/>
      <family val="3"/>
    </font>
    <font>
      <i/>
      <sz val="9"/>
      <color theme="1"/>
      <name val="Montserrat Medium"/>
      <family val="3"/>
    </font>
    <font>
      <sz val="9"/>
      <color rgb="FF000000"/>
      <name val="Montserrat Medium"/>
      <family val="3"/>
    </font>
    <font>
      <b/>
      <sz val="9"/>
      <color rgb="FF000000"/>
      <name val="Montserrat Medium"/>
      <family val="3"/>
    </font>
    <font>
      <b/>
      <sz val="10"/>
      <color theme="1"/>
      <name val="Montserrat Medium"/>
    </font>
    <font>
      <sz val="10"/>
      <color theme="1"/>
      <name val="Montserrat Medium"/>
    </font>
    <font>
      <b/>
      <i/>
      <sz val="10"/>
      <color theme="1"/>
      <name val="Montserrat Medium"/>
    </font>
    <font>
      <sz val="10"/>
      <color rgb="FF000000"/>
      <name val="Montserrat Medium"/>
    </font>
    <font>
      <sz val="11"/>
      <color theme="1"/>
      <name val="Montserrat Medium"/>
    </font>
    <font>
      <sz val="10"/>
      <color theme="1"/>
      <name val="Montserrat Light"/>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4">
    <xf numFmtId="0" fontId="0" fillId="0" borderId="0" applyFill="0" applyBorder="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7" applyNumberFormat="0" applyAlignment="0" applyProtection="0"/>
    <xf numFmtId="43"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2" fillId="0" borderId="0"/>
    <xf numFmtId="0" fontId="1" fillId="0" borderId="0"/>
    <xf numFmtId="0" fontId="7" fillId="0" borderId="0"/>
    <xf numFmtId="0" fontId="7" fillId="0" borderId="0"/>
    <xf numFmtId="0" fontId="8" fillId="4" borderId="8" applyNumberFormat="0" applyAlignment="0" applyProtection="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9" applyNumberFormat="0" applyFill="0" applyAlignment="0" applyProtection="0"/>
    <xf numFmtId="9" fontId="1" fillId="0" borderId="0" applyFont="0" applyFill="0" applyBorder="0" applyAlignment="0" applyProtection="0"/>
  </cellStyleXfs>
  <cellXfs count="134">
    <xf numFmtId="0" fontId="0" fillId="0" borderId="0" xfId="0"/>
    <xf numFmtId="0" fontId="18" fillId="0" borderId="0" xfId="0" applyFont="1" applyFill="1"/>
    <xf numFmtId="0" fontId="19" fillId="0" borderId="0" xfId="0" applyFont="1" applyFill="1" applyAlignment="1">
      <alignment horizontal="right" vertical="center" wrapText="1"/>
    </xf>
    <xf numFmtId="0" fontId="18" fillId="0" borderId="0" xfId="0" applyFont="1" applyFill="1" applyAlignment="1">
      <alignment horizontal="right" vertical="center" wrapText="1"/>
    </xf>
    <xf numFmtId="0" fontId="18" fillId="0" borderId="0" xfId="14" applyFont="1" applyFill="1"/>
    <xf numFmtId="0" fontId="18" fillId="0" borderId="0" xfId="0" applyFont="1" applyFill="1" applyAlignment="1">
      <alignment horizontal="left" vertical="center" readingOrder="1"/>
    </xf>
    <xf numFmtId="0" fontId="18" fillId="0" borderId="0" xfId="0" applyFont="1" applyFill="1" applyAlignment="1">
      <alignment horizontal="right"/>
    </xf>
    <xf numFmtId="0" fontId="18" fillId="0" borderId="1" xfId="0"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1" fillId="0" borderId="0" xfId="0" applyFont="1" applyFill="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0" xfId="13" applyFont="1" applyFill="1"/>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7" fillId="0" borderId="0" xfId="0" applyFont="1" applyFill="1" applyAlignment="1">
      <alignment horizontal="center"/>
    </xf>
    <xf numFmtId="0" fontId="10" fillId="0" borderId="0" xfId="0" applyFont="1" applyFill="1" applyAlignment="1">
      <alignment horizontal="center" vertical="center" wrapText="1"/>
    </xf>
    <xf numFmtId="165" fontId="11" fillId="0" borderId="0" xfId="23"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166" fontId="11" fillId="0" borderId="0" xfId="0" applyNumberFormat="1" applyFont="1" applyFill="1" applyAlignment="1">
      <alignment horizontal="center" vertical="center"/>
    </xf>
    <xf numFmtId="166" fontId="11" fillId="0" borderId="0" xfId="0" applyNumberFormat="1" applyFont="1" applyFill="1" applyAlignment="1">
      <alignment horizontal="center" vertical="center" wrapText="1"/>
    </xf>
    <xf numFmtId="167" fontId="11" fillId="0" borderId="0" xfId="0" applyNumberFormat="1" applyFont="1" applyFill="1" applyAlignment="1">
      <alignment horizontal="center" vertical="center" wrapText="1"/>
    </xf>
    <xf numFmtId="2" fontId="11" fillId="0" borderId="0" xfId="0" applyNumberFormat="1" applyFont="1" applyFill="1" applyAlignment="1">
      <alignment horizontal="center" vertical="center" wrapText="1"/>
    </xf>
    <xf numFmtId="167" fontId="11" fillId="0" borderId="0" xfId="23" applyNumberFormat="1" applyFont="1" applyFill="1" applyAlignment="1">
      <alignment horizontal="center" vertical="center" wrapText="1"/>
    </xf>
    <xf numFmtId="167" fontId="11" fillId="0" borderId="0" xfId="0" applyNumberFormat="1" applyFont="1" applyFill="1" applyAlignment="1">
      <alignment horizontal="center" vertical="center"/>
    </xf>
    <xf numFmtId="2" fontId="11" fillId="0" borderId="0" xfId="0" applyNumberFormat="1" applyFont="1" applyFill="1" applyAlignment="1">
      <alignment horizontal="center" vertical="center"/>
    </xf>
    <xf numFmtId="0" fontId="18" fillId="0" borderId="0" xfId="0" applyFont="1" applyFill="1" applyAlignment="1">
      <alignment horizontal="left" vertical="center" wrapText="1"/>
    </xf>
    <xf numFmtId="0" fontId="23" fillId="0" borderId="0" xfId="0" applyFont="1" applyFill="1" applyAlignment="1">
      <alignment horizontal="center" vertical="center" wrapText="1"/>
    </xf>
    <xf numFmtId="0" fontId="11" fillId="0" borderId="0" xfId="0" applyFont="1" applyFill="1" applyAlignment="1">
      <alignment horizontal="center" vertical="center"/>
    </xf>
    <xf numFmtId="167" fontId="18" fillId="0" borderId="1" xfId="23" applyNumberFormat="1" applyFont="1" applyFill="1" applyBorder="1" applyAlignment="1">
      <alignment horizontal="center" vertical="center" wrapText="1"/>
    </xf>
    <xf numFmtId="0" fontId="18" fillId="0" borderId="0" xfId="0" applyFont="1" applyFill="1" applyAlignment="1">
      <alignment horizontal="left" vertical="center"/>
    </xf>
    <xf numFmtId="0" fontId="18" fillId="0" borderId="1"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Alignment="1">
      <alignment vertical="center"/>
    </xf>
    <xf numFmtId="0" fontId="16" fillId="0" borderId="0" xfId="0" applyFont="1" applyFill="1" applyBorder="1" applyAlignment="1">
      <alignment vertical="top"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24" fillId="0" borderId="1" xfId="0" applyFont="1" applyFill="1" applyBorder="1" applyAlignment="1">
      <alignment horizontal="left" vertical="center" wrapText="1"/>
    </xf>
    <xf numFmtId="0" fontId="16" fillId="0" borderId="0" xfId="0" applyFont="1" applyFill="1" applyBorder="1" applyAlignment="1">
      <alignment vertical="top"/>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7" fillId="0" borderId="1" xfId="0" applyFont="1" applyFill="1" applyBorder="1" applyAlignment="1">
      <alignment horizontal="left" vertical="center" wrapText="1"/>
    </xf>
    <xf numFmtId="167" fontId="15" fillId="0" borderId="1" xfId="0" applyNumberFormat="1" applyFont="1" applyFill="1" applyBorder="1" applyAlignment="1">
      <alignment horizontal="center" vertical="center" wrapText="1"/>
    </xf>
    <xf numFmtId="167" fontId="27" fillId="0" borderId="1"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1" fillId="0" borderId="0" xfId="0" applyFont="1" applyFill="1" applyAlignment="1">
      <alignment horizontal="center" vertical="center" wrapText="1"/>
    </xf>
    <xf numFmtId="0" fontId="16" fillId="0" borderId="21" xfId="0" applyFont="1" applyFill="1" applyBorder="1" applyAlignment="1">
      <alignment horizontal="center" vertical="center" wrapText="1"/>
    </xf>
    <xf numFmtId="0" fontId="16" fillId="0" borderId="21" xfId="0" applyFont="1" applyFill="1" applyBorder="1" applyAlignment="1">
      <alignment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27" fillId="0" borderId="24" xfId="0" applyFont="1" applyFill="1" applyBorder="1" applyAlignment="1">
      <alignment horizontal="left" vertical="center" wrapText="1"/>
    </xf>
    <xf numFmtId="0" fontId="15" fillId="0" borderId="25" xfId="0" applyFont="1" applyFill="1" applyBorder="1" applyAlignment="1">
      <alignment horizontal="center" vertical="center" wrapText="1"/>
    </xf>
    <xf numFmtId="0" fontId="30" fillId="0" borderId="1" xfId="0" applyFont="1" applyBorder="1" applyAlignment="1">
      <alignment horizontal="justify" vertical="center" wrapText="1"/>
    </xf>
    <xf numFmtId="0" fontId="31"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30" fillId="0" borderId="1" xfId="13" applyFont="1" applyBorder="1" applyAlignment="1">
      <alignment vertical="center" wrapText="1"/>
    </xf>
    <xf numFmtId="0" fontId="29" fillId="0" borderId="1" xfId="13" applyFont="1" applyBorder="1" applyAlignment="1">
      <alignment vertical="center" wrapText="1"/>
    </xf>
    <xf numFmtId="0" fontId="33" fillId="0" borderId="0" xfId="0" applyFont="1" applyFill="1" applyAlignment="1">
      <alignment horizontal="center" vertical="center"/>
    </xf>
    <xf numFmtId="0" fontId="33"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0" borderId="0" xfId="0" applyFont="1" applyFill="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10"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6" fillId="0" borderId="26"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horizontal="left" vertical="center" wrapText="1"/>
    </xf>
    <xf numFmtId="0" fontId="27" fillId="0" borderId="14" xfId="0" applyFont="1" applyFill="1" applyBorder="1" applyAlignment="1">
      <alignment vertical="center" wrapText="1"/>
    </xf>
    <xf numFmtId="0" fontId="16"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5" fillId="0" borderId="14" xfId="0" applyFont="1" applyFill="1" applyBorder="1" applyAlignment="1">
      <alignment vertical="center" wrapText="1"/>
    </xf>
    <xf numFmtId="0" fontId="28" fillId="0" borderId="3"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11" fillId="0" borderId="1" xfId="13" applyFont="1" applyBorder="1" applyAlignment="1">
      <alignment vertical="center"/>
    </xf>
    <xf numFmtId="0" fontId="22" fillId="0" borderId="0" xfId="0" applyFont="1" applyFill="1" applyAlignment="1">
      <alignment horizontal="left" vertical="center"/>
    </xf>
    <xf numFmtId="0" fontId="18" fillId="0" borderId="1" xfId="13" applyFont="1" applyBorder="1" applyAlignment="1">
      <alignment vertical="center" wrapText="1"/>
    </xf>
    <xf numFmtId="0" fontId="34" fillId="0" borderId="1" xfId="0" applyFont="1" applyBorder="1" applyAlignment="1">
      <alignment horizontal="justify" vertical="center"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0" xfId="0" applyFont="1" applyBorder="1" applyAlignment="1">
      <alignment horizontal="left" vertical="center" wrapText="1"/>
    </xf>
    <xf numFmtId="0" fontId="23" fillId="0" borderId="1" xfId="0" applyFont="1" applyFill="1" applyBorder="1" applyAlignment="1">
      <alignment horizontal="left" vertical="top"/>
    </xf>
    <xf numFmtId="0" fontId="18" fillId="0" borderId="6"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 xfId="0" applyFont="1" applyFill="1" applyBorder="1" applyAlignment="1">
      <alignment horizontal="left" vertical="top"/>
    </xf>
  </cellXfs>
  <cellStyles count="24">
    <cellStyle name="Comma 2" xfId="1" xr:uid="{00000000-0005-0000-0000-000000000000}"/>
    <cellStyle name="Comma 3" xfId="2" xr:uid="{00000000-0005-0000-0000-000001000000}"/>
    <cellStyle name="Comma0 - Type3" xfId="3" xr:uid="{00000000-0005-0000-0000-000002000000}"/>
    <cellStyle name="Fixed2 - Type2" xfId="4" xr:uid="{00000000-0005-0000-0000-000003000000}"/>
    <cellStyle name="Hyperlink 2" xfId="5" xr:uid="{00000000-0005-0000-0000-000004000000}"/>
    <cellStyle name="Hyperlink 3" xfId="6" xr:uid="{00000000-0005-0000-0000-000005000000}"/>
    <cellStyle name="Input 2" xfId="7" xr:uid="{00000000-0005-0000-0000-000006000000}"/>
    <cellStyle name="Komma 2" xfId="8" xr:uid="{00000000-0005-0000-0000-000007000000}"/>
    <cellStyle name="Komma 3" xfId="9" xr:uid="{00000000-0005-0000-0000-000008000000}"/>
    <cellStyle name="Link 2" xfId="10" xr:uid="{00000000-0005-0000-0000-000009000000}"/>
    <cellStyle name="Neutral 2" xfId="11" xr:uid="{00000000-0005-0000-0000-00000A000000}"/>
    <cellStyle name="Normal" xfId="0" builtinId="0"/>
    <cellStyle name="Normal 10" xfId="12" xr:uid="{00000000-0005-0000-0000-00000C000000}"/>
    <cellStyle name="Normal 2" xfId="13" xr:uid="{00000000-0005-0000-0000-00000D000000}"/>
    <cellStyle name="Normal 3" xfId="14" xr:uid="{00000000-0005-0000-0000-00000E000000}"/>
    <cellStyle name="Normal 6" xfId="15" xr:uid="{00000000-0005-0000-0000-00000F000000}"/>
    <cellStyle name="Normal 6 2" xfId="16" xr:uid="{00000000-0005-0000-0000-000010000000}"/>
    <cellStyle name="Output 2" xfId="17" xr:uid="{00000000-0005-0000-0000-000011000000}"/>
    <cellStyle name="Percen - Type1" xfId="18" xr:uid="{00000000-0005-0000-0000-000012000000}"/>
    <cellStyle name="Percent 2" xfId="19" xr:uid="{00000000-0005-0000-0000-000013000000}"/>
    <cellStyle name="Porcentaje" xfId="23" builtinId="5"/>
    <cellStyle name="Procent 2" xfId="20" xr:uid="{00000000-0005-0000-0000-000015000000}"/>
    <cellStyle name="Procent 3" xfId="21" xr:uid="{00000000-0005-0000-0000-000016000000}"/>
    <cellStyle name="Total 2" xfId="22"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theme" Target="theme/theme1.xml"/><Relationship Id="rId10" Type="http://schemas.openxmlformats.org/officeDocument/2006/relationships/chartsheet" Target="chartsheets/sheet7.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7748271428631254E-2"/>
                  <c:y val="0.3808512833491330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Uncertanties!$S$2:$S$3</c:f>
            </c:numRef>
          </c:xVal>
          <c:yVal>
            <c:numRef>
              <c:f>Uncertanties!$T$2:$T$3</c:f>
            </c:numRef>
          </c:yVal>
          <c:smooth val="1"/>
          <c:extLst>
            <c:ext xmlns:c16="http://schemas.microsoft.com/office/drawing/2014/chart" uri="{C3380CC4-5D6E-409C-BE32-E72D297353CC}">
              <c16:uniqueId val="{00000000-A7E6-4CD3-BF25-487CB0C2FA78}"/>
            </c:ext>
          </c:extLst>
        </c:ser>
        <c:dLbls>
          <c:showLegendKey val="0"/>
          <c:showVal val="0"/>
          <c:showCatName val="0"/>
          <c:showSerName val="0"/>
          <c:showPercent val="0"/>
          <c:showBubbleSize val="0"/>
        </c:dLbls>
        <c:axId val="167389056"/>
        <c:axId val="167469440"/>
      </c:scatterChart>
      <c:valAx>
        <c:axId val="167389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7469440"/>
        <c:crosses val="autoZero"/>
        <c:crossBetween val="midCat"/>
      </c:valAx>
      <c:valAx>
        <c:axId val="167469440"/>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73890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2452848383010328E-2"/>
                  <c:y val="0.5527983956839990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Uncertanties!$S$2:$S$3</c:f>
            </c:numRef>
          </c:xVal>
          <c:yVal>
            <c:numRef>
              <c:f>Uncertanties!$U$2:$U$3</c:f>
            </c:numRef>
          </c:yVal>
          <c:smooth val="1"/>
          <c:extLst>
            <c:ext xmlns:c16="http://schemas.microsoft.com/office/drawing/2014/chart" uri="{C3380CC4-5D6E-409C-BE32-E72D297353CC}">
              <c16:uniqueId val="{00000000-79EA-428D-8CC3-E531E68CA8DE}"/>
            </c:ext>
          </c:extLst>
        </c:ser>
        <c:dLbls>
          <c:showLegendKey val="0"/>
          <c:showVal val="0"/>
          <c:showCatName val="0"/>
          <c:showSerName val="0"/>
          <c:showPercent val="0"/>
          <c:showBubbleSize val="0"/>
        </c:dLbls>
        <c:axId val="184530432"/>
        <c:axId val="184531968"/>
      </c:scatterChart>
      <c:valAx>
        <c:axId val="184530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531968"/>
        <c:crosses val="autoZero"/>
        <c:crossBetween val="midCat"/>
      </c:valAx>
      <c:valAx>
        <c:axId val="184531968"/>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530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9565685067714223E-2"/>
                  <c:y val="0.58704034666495097"/>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Uncertanties!$V$3:$V$4</c:f>
            </c:numRef>
          </c:xVal>
          <c:yVal>
            <c:numRef>
              <c:f>Uncertanties!$W$3:$W$4</c:f>
            </c:numRef>
          </c:yVal>
          <c:smooth val="1"/>
          <c:extLst>
            <c:ext xmlns:c16="http://schemas.microsoft.com/office/drawing/2014/chart" uri="{C3380CC4-5D6E-409C-BE32-E72D297353CC}">
              <c16:uniqueId val="{00000000-58C0-4395-9CEC-A681E0B40F91}"/>
            </c:ext>
          </c:extLst>
        </c:ser>
        <c:dLbls>
          <c:showLegendKey val="0"/>
          <c:showVal val="0"/>
          <c:showCatName val="0"/>
          <c:showSerName val="0"/>
          <c:showPercent val="0"/>
          <c:showBubbleSize val="0"/>
        </c:dLbls>
        <c:axId val="184562432"/>
        <c:axId val="184563968"/>
      </c:scatterChart>
      <c:valAx>
        <c:axId val="184562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563968"/>
        <c:crosses val="autoZero"/>
        <c:crossBetween val="midCat"/>
      </c:valAx>
      <c:valAx>
        <c:axId val="18456396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56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5326784257520046E-2"/>
                  <c:y val="0.51971686527816607"/>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Uncertanties!$V$3:$V$4</c:f>
            </c:numRef>
          </c:xVal>
          <c:yVal>
            <c:numRef>
              <c:f>Uncertanties!$X$3:$X$4</c:f>
            </c:numRef>
          </c:yVal>
          <c:smooth val="1"/>
          <c:extLst>
            <c:ext xmlns:c16="http://schemas.microsoft.com/office/drawing/2014/chart" uri="{C3380CC4-5D6E-409C-BE32-E72D297353CC}">
              <c16:uniqueId val="{00000000-4459-4EB6-A72F-214FF5DAE926}"/>
            </c:ext>
          </c:extLst>
        </c:ser>
        <c:dLbls>
          <c:showLegendKey val="0"/>
          <c:showVal val="0"/>
          <c:showCatName val="0"/>
          <c:showSerName val="0"/>
          <c:showPercent val="0"/>
          <c:showBubbleSize val="0"/>
        </c:dLbls>
        <c:axId val="184696832"/>
        <c:axId val="184698368"/>
      </c:scatterChart>
      <c:valAx>
        <c:axId val="184696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698368"/>
        <c:crosses val="autoZero"/>
        <c:crossBetween val="midCat"/>
      </c:valAx>
      <c:valAx>
        <c:axId val="184698368"/>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6968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9207612081835743"/>
                  <c:y val="-6.093656076814181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Uncertanties!$Y$4:$Y$5</c:f>
            </c:numRef>
          </c:xVal>
          <c:yVal>
            <c:numRef>
              <c:f>Uncertanties!$Z$4:$Z$5</c:f>
            </c:numRef>
          </c:yVal>
          <c:smooth val="1"/>
          <c:extLst>
            <c:ext xmlns:c16="http://schemas.microsoft.com/office/drawing/2014/chart" uri="{C3380CC4-5D6E-409C-BE32-E72D297353CC}">
              <c16:uniqueId val="{00000000-960E-4F96-A2DA-264B946E66BF}"/>
            </c:ext>
          </c:extLst>
        </c:ser>
        <c:dLbls>
          <c:showLegendKey val="0"/>
          <c:showVal val="0"/>
          <c:showCatName val="0"/>
          <c:showSerName val="0"/>
          <c:showPercent val="0"/>
          <c:showBubbleSize val="0"/>
        </c:dLbls>
        <c:axId val="184740864"/>
        <c:axId val="184161024"/>
      </c:scatterChart>
      <c:valAx>
        <c:axId val="184740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161024"/>
        <c:crosses val="autoZero"/>
        <c:crossBetween val="midCat"/>
      </c:valAx>
      <c:valAx>
        <c:axId val="184161024"/>
        <c:scaling>
          <c:orientation val="minMax"/>
          <c:max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7408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4932973127720617"/>
                  <c:y val="-6.9019683214397902E-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Uncertanties!$Y$4:$Y$5</c:f>
            </c:numRef>
          </c:xVal>
          <c:yVal>
            <c:numRef>
              <c:f>Uncertanties!$AA$4:$AA$5</c:f>
            </c:numRef>
          </c:yVal>
          <c:smooth val="1"/>
          <c:extLst>
            <c:ext xmlns:c16="http://schemas.microsoft.com/office/drawing/2014/chart" uri="{C3380CC4-5D6E-409C-BE32-E72D297353CC}">
              <c16:uniqueId val="{00000000-055C-4626-B2BA-679923229ED8}"/>
            </c:ext>
          </c:extLst>
        </c:ser>
        <c:dLbls>
          <c:showLegendKey val="0"/>
          <c:showVal val="0"/>
          <c:showCatName val="0"/>
          <c:showSerName val="0"/>
          <c:showPercent val="0"/>
          <c:showBubbleSize val="0"/>
        </c:dLbls>
        <c:axId val="184224000"/>
        <c:axId val="184238080"/>
      </c:scatterChart>
      <c:valAx>
        <c:axId val="184224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238080"/>
        <c:crosses val="autoZero"/>
        <c:crossBetween val="midCat"/>
      </c:valAx>
      <c:valAx>
        <c:axId val="184238080"/>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224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7.7080876640332766E-2"/>
                  <c:y val="2.0345421183779536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(Data!$E$2,Data!$F$2,Data!$G$2,Data!$H$2)</c:f>
              <c:numCache>
                <c:formatCode>General</c:formatCode>
                <c:ptCount val="4"/>
                <c:pt idx="0">
                  <c:v>2016</c:v>
                </c:pt>
                <c:pt idx="1">
                  <c:v>2020</c:v>
                </c:pt>
                <c:pt idx="2">
                  <c:v>2025</c:v>
                </c:pt>
                <c:pt idx="3">
                  <c:v>2030</c:v>
                </c:pt>
              </c:numCache>
            </c:numRef>
          </c:xVal>
          <c:yVal>
            <c:numRef>
              <c:f>(Data!$E$17,Data!$F$17,Data!$G$17,Data!$H$17)</c:f>
              <c:numCache>
                <c:formatCode>General</c:formatCode>
                <c:ptCount val="4"/>
                <c:pt idx="0">
                  <c:v>0.67462500000000003</c:v>
                </c:pt>
                <c:pt idx="1">
                  <c:v>0.52115</c:v>
                </c:pt>
                <c:pt idx="2">
                  <c:v>0.37874999999999998</c:v>
                </c:pt>
                <c:pt idx="3">
                  <c:v>0.27610000000000001</c:v>
                </c:pt>
              </c:numCache>
            </c:numRef>
          </c:yVal>
          <c:smooth val="1"/>
          <c:extLst>
            <c:ext xmlns:c16="http://schemas.microsoft.com/office/drawing/2014/chart" uri="{C3380CC4-5D6E-409C-BE32-E72D297353CC}">
              <c16:uniqueId val="{00000000-DC18-4C04-AEA4-367437E0BFED}"/>
            </c:ext>
          </c:extLst>
        </c:ser>
        <c:dLbls>
          <c:showLegendKey val="0"/>
          <c:showVal val="0"/>
          <c:showCatName val="0"/>
          <c:showSerName val="0"/>
          <c:showPercent val="0"/>
          <c:showBubbleSize val="0"/>
        </c:dLbls>
        <c:axId val="184268288"/>
        <c:axId val="184269824"/>
      </c:scatterChart>
      <c:valAx>
        <c:axId val="184268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269824"/>
        <c:crosses val="autoZero"/>
        <c:crossBetween val="midCat"/>
      </c:valAx>
      <c:valAx>
        <c:axId val="184269824"/>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2682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5.5109044874669444E-2"/>
                  <c:y val="4.6276719911431931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(Data!$E$2,Data!$F$2,Data!$G$2,Data!$H$2)</c:f>
              <c:numCache>
                <c:formatCode>General</c:formatCode>
                <c:ptCount val="4"/>
                <c:pt idx="0">
                  <c:v>2016</c:v>
                </c:pt>
                <c:pt idx="1">
                  <c:v>2020</c:v>
                </c:pt>
                <c:pt idx="2">
                  <c:v>2025</c:v>
                </c:pt>
                <c:pt idx="3">
                  <c:v>2030</c:v>
                </c:pt>
              </c:numCache>
            </c:numRef>
          </c:xVal>
          <c:yVal>
            <c:numRef>
              <c:f>(Data!$E$18,Data!$F$18,Data!$G$18,Data!$H$18)</c:f>
              <c:numCache>
                <c:formatCode>General</c:formatCode>
                <c:ptCount val="4"/>
                <c:pt idx="0">
                  <c:v>0.105</c:v>
                </c:pt>
                <c:pt idx="1">
                  <c:v>8.5199999999999998E-2</c:v>
                </c:pt>
                <c:pt idx="2">
                  <c:v>6.5600000000000006E-2</c:v>
                </c:pt>
                <c:pt idx="3">
                  <c:v>5.0599999999999999E-2</c:v>
                </c:pt>
              </c:numCache>
            </c:numRef>
          </c:yVal>
          <c:smooth val="1"/>
          <c:extLst>
            <c:ext xmlns:c16="http://schemas.microsoft.com/office/drawing/2014/chart" uri="{C3380CC4-5D6E-409C-BE32-E72D297353CC}">
              <c16:uniqueId val="{00000000-55A1-4CF2-8EE2-6E47419EA992}"/>
            </c:ext>
          </c:extLst>
        </c:ser>
        <c:dLbls>
          <c:showLegendKey val="0"/>
          <c:showVal val="0"/>
          <c:showCatName val="0"/>
          <c:showSerName val="0"/>
          <c:showPercent val="0"/>
          <c:showBubbleSize val="0"/>
        </c:dLbls>
        <c:axId val="184750848"/>
        <c:axId val="184752384"/>
      </c:scatterChart>
      <c:valAx>
        <c:axId val="18475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752384"/>
        <c:crosses val="autoZero"/>
        <c:crossBetween val="midCat"/>
      </c:valAx>
      <c:valAx>
        <c:axId val="184752384"/>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7508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7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7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7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7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70"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70"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70"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382DF23F-2C34-42AE-BBB9-6A5BDF3BCC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72FAE736-5AB9-47DF-A533-6494DF237FF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FBD1DF56-FAB7-4EE0-B907-7290ACBF59F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C81FD886-DDE4-455D-A851-978874DF3B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F112D6AB-2C31-41DB-9D29-0C72D4349F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59DEF85B-092E-4C6E-BB9B-4B13D8EB8C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B706E7F8-76A1-4490-9C7F-485A6A49DC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2DDEB269-AB2F-408E-A407-810767EE11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PROY%20ALM%20ENE/DS%20REF/MX%20TC%20Data%20Sheets%20Draft1_Ver_191127a%20SPI%20(Autoguar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S"/>
      <sheetName val="Li-Ion Battery"/>
      <sheetName val="Lead acid battery"/>
      <sheetName val="Na-S Battery"/>
      <sheetName val="VR Flow Battery"/>
      <sheetName val="CAES"/>
      <sheetName val="Molten Salt"/>
      <sheetName val="Supercapacitors"/>
      <sheetName val="Flywheels"/>
    </sheetNames>
    <sheetDataSet>
      <sheetData sheetId="0" refreshError="1"/>
      <sheetData sheetId="1"/>
      <sheetData sheetId="2"/>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L54"/>
  <sheetViews>
    <sheetView topLeftCell="A16" zoomScale="80" zoomScaleNormal="80" workbookViewId="0">
      <selection activeCell="G45" sqref="G45"/>
    </sheetView>
  </sheetViews>
  <sheetFormatPr baseColWidth="10" defaultColWidth="11.42578125" defaultRowHeight="15" x14ac:dyDescent="0.3"/>
  <cols>
    <col min="1" max="1" width="103.42578125" style="1" customWidth="1"/>
    <col min="2" max="2" width="80.42578125" style="1" hidden="1" customWidth="1"/>
    <col min="3" max="3" width="5.140625" style="1" customWidth="1"/>
    <col min="4" max="10" width="10.7109375" style="1" customWidth="1"/>
    <col min="11" max="11" width="9.28515625" style="1" customWidth="1"/>
    <col min="12" max="12" width="18" style="1" customWidth="1"/>
    <col min="13" max="16384" width="11.42578125" style="1"/>
  </cols>
  <sheetData>
    <row r="1" spans="1:12" ht="15.75" thickBot="1" x14ac:dyDescent="0.35"/>
    <row r="2" spans="1:12" ht="20.100000000000001" customHeight="1" x14ac:dyDescent="0.3">
      <c r="A2" s="46" t="s">
        <v>136</v>
      </c>
      <c r="B2" s="100" t="s">
        <v>162</v>
      </c>
      <c r="D2" s="86" t="s">
        <v>166</v>
      </c>
      <c r="E2" s="86"/>
      <c r="F2" s="86"/>
      <c r="G2" s="86"/>
      <c r="H2" s="86"/>
      <c r="I2" s="86"/>
      <c r="J2" s="86"/>
      <c r="K2" s="86"/>
      <c r="L2" s="87"/>
    </row>
    <row r="3" spans="1:12" ht="20.100000000000001" customHeight="1" x14ac:dyDescent="0.3">
      <c r="A3" s="110"/>
      <c r="B3" s="101"/>
      <c r="D3" s="47">
        <v>2020</v>
      </c>
      <c r="E3" s="47">
        <v>2030</v>
      </c>
      <c r="F3" s="47">
        <v>2050</v>
      </c>
      <c r="G3" s="84" t="s">
        <v>163</v>
      </c>
      <c r="H3" s="85"/>
      <c r="I3" s="88" t="s">
        <v>164</v>
      </c>
      <c r="J3" s="88"/>
      <c r="K3" s="47" t="s">
        <v>165</v>
      </c>
      <c r="L3" s="63" t="s">
        <v>4</v>
      </c>
    </row>
    <row r="4" spans="1:12" ht="20.100000000000001" customHeight="1" x14ac:dyDescent="0.3">
      <c r="A4" s="76" t="s">
        <v>137</v>
      </c>
      <c r="B4" s="102" t="s">
        <v>5</v>
      </c>
      <c r="D4" s="46"/>
      <c r="E4" s="46"/>
      <c r="F4" s="46"/>
      <c r="G4" s="47" t="s">
        <v>167</v>
      </c>
      <c r="H4" s="47" t="s">
        <v>168</v>
      </c>
      <c r="I4" s="47" t="s">
        <v>167</v>
      </c>
      <c r="J4" s="47" t="s">
        <v>168</v>
      </c>
      <c r="K4" s="46"/>
      <c r="L4" s="64"/>
    </row>
    <row r="5" spans="1:12" ht="20.100000000000001" customHeight="1" x14ac:dyDescent="0.3">
      <c r="A5" s="72" t="s">
        <v>138</v>
      </c>
      <c r="B5" s="101" t="s">
        <v>6</v>
      </c>
      <c r="D5" s="89"/>
      <c r="E5" s="89"/>
      <c r="F5" s="89"/>
      <c r="G5" s="48"/>
      <c r="H5" s="48"/>
      <c r="I5" s="48"/>
      <c r="J5" s="48"/>
      <c r="K5" s="48"/>
      <c r="L5" s="65"/>
    </row>
    <row r="6" spans="1:12" ht="27.75" customHeight="1" x14ac:dyDescent="0.3">
      <c r="A6" s="72" t="s">
        <v>139</v>
      </c>
      <c r="B6" s="101" t="s">
        <v>7</v>
      </c>
      <c r="D6" s="89" t="s">
        <v>228</v>
      </c>
      <c r="E6" s="89"/>
      <c r="F6" s="89"/>
      <c r="G6" s="48"/>
      <c r="H6" s="48"/>
      <c r="I6" s="48"/>
      <c r="J6" s="48"/>
      <c r="K6" s="48"/>
      <c r="L6" s="65"/>
    </row>
    <row r="7" spans="1:12" ht="20.100000000000001" customHeight="1" x14ac:dyDescent="0.3">
      <c r="A7" s="72" t="s">
        <v>140</v>
      </c>
      <c r="B7" s="103" t="s">
        <v>8</v>
      </c>
      <c r="D7" s="49">
        <v>6.65</v>
      </c>
      <c r="E7" s="49">
        <v>6.65</v>
      </c>
      <c r="F7" s="49">
        <v>6.65</v>
      </c>
      <c r="G7" s="49">
        <f>F7</f>
        <v>6.65</v>
      </c>
      <c r="H7" s="49">
        <f t="shared" ref="H7:J7" si="0">G7</f>
        <v>6.65</v>
      </c>
      <c r="I7" s="49">
        <f t="shared" si="0"/>
        <v>6.65</v>
      </c>
      <c r="J7" s="49">
        <f t="shared" si="0"/>
        <v>6.65</v>
      </c>
      <c r="K7" s="48"/>
      <c r="L7" s="65" t="s">
        <v>56</v>
      </c>
    </row>
    <row r="8" spans="1:12" ht="20.100000000000001" customHeight="1" x14ac:dyDescent="0.3">
      <c r="A8" s="72" t="s">
        <v>227</v>
      </c>
      <c r="B8" s="103" t="s">
        <v>10</v>
      </c>
      <c r="D8" s="49">
        <f>D7/4</f>
        <v>1.6625000000000001</v>
      </c>
      <c r="E8" s="49">
        <f t="shared" ref="E8:F8" si="1">E7/4</f>
        <v>1.6625000000000001</v>
      </c>
      <c r="F8" s="49">
        <f t="shared" si="1"/>
        <v>1.6625000000000001</v>
      </c>
      <c r="G8" s="49">
        <f>G7/4</f>
        <v>1.6625000000000001</v>
      </c>
      <c r="H8" s="49">
        <f t="shared" ref="H8:J8" si="2">H7/4</f>
        <v>1.6625000000000001</v>
      </c>
      <c r="I8" s="49">
        <f t="shared" si="2"/>
        <v>1.6625000000000001</v>
      </c>
      <c r="J8" s="49">
        <f t="shared" si="2"/>
        <v>1.6625000000000001</v>
      </c>
      <c r="K8" s="48"/>
      <c r="L8" s="65" t="s">
        <v>9</v>
      </c>
    </row>
    <row r="9" spans="1:12" ht="20.100000000000001" customHeight="1" x14ac:dyDescent="0.3">
      <c r="A9" s="72" t="s">
        <v>234</v>
      </c>
      <c r="B9" s="103" t="s">
        <v>11</v>
      </c>
      <c r="D9" s="49">
        <f>D8</f>
        <v>1.6625000000000001</v>
      </c>
      <c r="E9" s="49">
        <f>E8</f>
        <v>1.6625000000000001</v>
      </c>
      <c r="F9" s="49">
        <f>F8</f>
        <v>1.6625000000000001</v>
      </c>
      <c r="G9" s="49">
        <f>G8</f>
        <v>1.6625000000000001</v>
      </c>
      <c r="H9" s="49">
        <f t="shared" ref="H9:J9" si="3">H8</f>
        <v>1.6625000000000001</v>
      </c>
      <c r="I9" s="49">
        <f t="shared" si="3"/>
        <v>1.6625000000000001</v>
      </c>
      <c r="J9" s="49">
        <f t="shared" si="3"/>
        <v>1.6625000000000001</v>
      </c>
      <c r="K9" s="48"/>
      <c r="L9" s="65" t="s">
        <v>9</v>
      </c>
    </row>
    <row r="10" spans="1:12" ht="20.100000000000001" customHeight="1" x14ac:dyDescent="0.3">
      <c r="A10" s="72" t="s">
        <v>155</v>
      </c>
      <c r="B10" s="103" t="s">
        <v>12</v>
      </c>
      <c r="D10" s="48">
        <v>73</v>
      </c>
      <c r="E10" s="48">
        <v>73</v>
      </c>
      <c r="F10" s="48">
        <v>73</v>
      </c>
      <c r="G10" s="50">
        <f>$D$10+($D$10*Uncertanties!L3)</f>
        <v>58.025641025641022</v>
      </c>
      <c r="H10" s="50">
        <f>$D$10+($D$10*Uncertanties!M3)</f>
        <v>82.358974358974365</v>
      </c>
      <c r="I10" s="50">
        <f>$E$10+($E$10*Uncertanties!N3)</f>
        <v>59.622166000000036</v>
      </c>
      <c r="J10" s="50">
        <f>$E$10+($E$10*Uncertanties!O3)</f>
        <v>84.475600000000028</v>
      </c>
      <c r="K10" s="48" t="s">
        <v>169</v>
      </c>
      <c r="L10" s="65" t="s">
        <v>13</v>
      </c>
    </row>
    <row r="11" spans="1:12" ht="20.100000000000001" customHeight="1" x14ac:dyDescent="0.3">
      <c r="A11" s="73" t="s">
        <v>142</v>
      </c>
      <c r="B11" s="103" t="s">
        <v>134</v>
      </c>
      <c r="D11" s="50">
        <f>POWER(D10/100,0.5)*100</f>
        <v>85.440037453175307</v>
      </c>
      <c r="E11" s="50">
        <f t="shared" ref="E11:J11" si="4">POWER(E10/100,0.5)*100</f>
        <v>85.440037453175307</v>
      </c>
      <c r="F11" s="50">
        <f t="shared" si="4"/>
        <v>85.440037453175307</v>
      </c>
      <c r="G11" s="50">
        <f t="shared" si="4"/>
        <v>76.174563356570033</v>
      </c>
      <c r="H11" s="50">
        <f t="shared" si="4"/>
        <v>90.751845358083145</v>
      </c>
      <c r="I11" s="50">
        <f t="shared" si="4"/>
        <v>77.215390952840508</v>
      </c>
      <c r="J11" s="50">
        <f t="shared" si="4"/>
        <v>91.910608745672022</v>
      </c>
      <c r="K11" s="48"/>
      <c r="L11" s="65"/>
    </row>
    <row r="12" spans="1:12" ht="20.100000000000001" customHeight="1" x14ac:dyDescent="0.3">
      <c r="A12" s="73" t="s">
        <v>143</v>
      </c>
      <c r="B12" s="103" t="s">
        <v>14</v>
      </c>
      <c r="D12" s="50">
        <f>D11</f>
        <v>85.440037453175307</v>
      </c>
      <c r="E12" s="50">
        <f t="shared" ref="E12:F12" si="5">E11</f>
        <v>85.440037453175307</v>
      </c>
      <c r="F12" s="50">
        <f t="shared" si="5"/>
        <v>85.440037453175307</v>
      </c>
      <c r="G12" s="50">
        <f>G11</f>
        <v>76.174563356570033</v>
      </c>
      <c r="H12" s="50">
        <f t="shared" ref="H12:J12" si="6">H11</f>
        <v>90.751845358083145</v>
      </c>
      <c r="I12" s="50">
        <f t="shared" si="6"/>
        <v>77.215390952840508</v>
      </c>
      <c r="J12" s="50">
        <f t="shared" si="6"/>
        <v>91.910608745672022</v>
      </c>
      <c r="K12" s="48"/>
      <c r="L12" s="65" t="s">
        <v>15</v>
      </c>
    </row>
    <row r="13" spans="1:12" ht="20.100000000000001" customHeight="1" x14ac:dyDescent="0.3">
      <c r="A13" s="72" t="s">
        <v>144</v>
      </c>
      <c r="B13" s="103" t="s">
        <v>16</v>
      </c>
      <c r="D13" s="48">
        <v>0.2</v>
      </c>
      <c r="E13" s="48">
        <v>0.2</v>
      </c>
      <c r="F13" s="48">
        <v>0.2</v>
      </c>
      <c r="G13" s="48">
        <v>0</v>
      </c>
      <c r="H13" s="48">
        <v>1</v>
      </c>
      <c r="I13" s="48">
        <v>0</v>
      </c>
      <c r="J13" s="48">
        <v>1</v>
      </c>
      <c r="K13" s="48"/>
      <c r="L13" s="65" t="s">
        <v>9</v>
      </c>
    </row>
    <row r="14" spans="1:12" ht="20.100000000000001" customHeight="1" x14ac:dyDescent="0.3">
      <c r="A14" s="72" t="s">
        <v>145</v>
      </c>
      <c r="B14" s="103" t="s">
        <v>17</v>
      </c>
      <c r="D14" s="48">
        <v>0.5</v>
      </c>
      <c r="E14" s="48">
        <v>0.5</v>
      </c>
      <c r="F14" s="48">
        <v>0.5</v>
      </c>
      <c r="G14" s="48">
        <v>0</v>
      </c>
      <c r="H14" s="48">
        <v>5</v>
      </c>
      <c r="I14" s="48">
        <v>0</v>
      </c>
      <c r="J14" s="48">
        <v>5</v>
      </c>
      <c r="K14" s="48" t="s">
        <v>18</v>
      </c>
      <c r="L14" s="65" t="s">
        <v>19</v>
      </c>
    </row>
    <row r="15" spans="1:12" ht="20.100000000000001" customHeight="1" x14ac:dyDescent="0.3">
      <c r="A15" s="72" t="s">
        <v>146</v>
      </c>
      <c r="B15" s="103" t="s">
        <v>20</v>
      </c>
      <c r="D15" s="48">
        <v>0</v>
      </c>
      <c r="E15" s="48">
        <v>0</v>
      </c>
      <c r="F15" s="48">
        <v>0</v>
      </c>
      <c r="G15" s="48">
        <v>0</v>
      </c>
      <c r="H15" s="48">
        <v>0</v>
      </c>
      <c r="I15" s="48">
        <v>0</v>
      </c>
      <c r="J15" s="48">
        <v>0</v>
      </c>
      <c r="K15" s="48" t="s">
        <v>18</v>
      </c>
      <c r="L15" s="65" t="s">
        <v>21</v>
      </c>
    </row>
    <row r="16" spans="1:12" ht="20.100000000000001" customHeight="1" x14ac:dyDescent="0.3">
      <c r="A16" s="72" t="s">
        <v>147</v>
      </c>
      <c r="B16" s="103" t="s">
        <v>22</v>
      </c>
      <c r="D16" s="48">
        <v>14</v>
      </c>
      <c r="E16" s="48">
        <v>14</v>
      </c>
      <c r="F16" s="51">
        <v>14</v>
      </c>
      <c r="G16" s="50">
        <f>$D$16+($D$16*Uncertanties!L4)</f>
        <v>4.2000000000000011</v>
      </c>
      <c r="H16" s="50">
        <f>$D$16+($D$16*Uncertanties!M4)</f>
        <v>16.100000000000001</v>
      </c>
      <c r="I16" s="50">
        <f>$E$16+($E$16*Uncertanties!N4)</f>
        <v>4.6571980000000028</v>
      </c>
      <c r="J16" s="50">
        <f>$E$16+($E$16*Uncertanties!O4)</f>
        <v>18.20000000000001</v>
      </c>
      <c r="K16" s="48" t="s">
        <v>169</v>
      </c>
      <c r="L16" s="65" t="s">
        <v>23</v>
      </c>
    </row>
    <row r="17" spans="1:12" ht="20.100000000000001" customHeight="1" x14ac:dyDescent="0.3">
      <c r="A17" s="72" t="s">
        <v>148</v>
      </c>
      <c r="B17" s="103" t="s">
        <v>24</v>
      </c>
      <c r="D17" s="48">
        <v>1</v>
      </c>
      <c r="E17" s="48">
        <v>1</v>
      </c>
      <c r="F17" s="51">
        <v>1</v>
      </c>
      <c r="G17" s="48">
        <v>0.2</v>
      </c>
      <c r="H17" s="48">
        <v>2</v>
      </c>
      <c r="I17" s="48">
        <f>G17</f>
        <v>0.2</v>
      </c>
      <c r="J17" s="48">
        <f>H17</f>
        <v>2</v>
      </c>
      <c r="K17" s="48" t="s">
        <v>25</v>
      </c>
      <c r="L17" s="65" t="s">
        <v>19</v>
      </c>
    </row>
    <row r="18" spans="1:12" ht="20.100000000000001" customHeight="1" x14ac:dyDescent="0.3">
      <c r="A18" s="72" t="s">
        <v>149</v>
      </c>
      <c r="B18" s="104" t="s">
        <v>41</v>
      </c>
      <c r="D18" s="51">
        <v>13000</v>
      </c>
      <c r="E18" s="51">
        <v>13000</v>
      </c>
      <c r="F18" s="51">
        <v>13000</v>
      </c>
      <c r="G18" s="51">
        <v>12000</v>
      </c>
      <c r="H18" s="51">
        <v>14000</v>
      </c>
      <c r="I18" s="51">
        <v>12000</v>
      </c>
      <c r="J18" s="51">
        <v>14000</v>
      </c>
      <c r="K18" s="51"/>
      <c r="L18" s="66" t="s">
        <v>9</v>
      </c>
    </row>
    <row r="19" spans="1:12" ht="20.100000000000001" customHeight="1" x14ac:dyDescent="0.3">
      <c r="A19" s="74" t="s">
        <v>150</v>
      </c>
      <c r="B19" s="105" t="s">
        <v>26</v>
      </c>
      <c r="D19" s="80"/>
      <c r="E19" s="80"/>
      <c r="F19" s="80"/>
      <c r="G19" s="80"/>
      <c r="H19" s="80"/>
      <c r="I19" s="80"/>
      <c r="J19" s="80"/>
      <c r="K19" s="80"/>
      <c r="L19" s="81"/>
    </row>
    <row r="20" spans="1:12" ht="20.100000000000001" customHeight="1" x14ac:dyDescent="0.3">
      <c r="A20" s="72" t="s">
        <v>226</v>
      </c>
      <c r="B20" s="103" t="s">
        <v>27</v>
      </c>
      <c r="D20" s="48">
        <v>0.1</v>
      </c>
      <c r="E20" s="52">
        <v>0.1</v>
      </c>
      <c r="F20" s="48">
        <v>0.1</v>
      </c>
      <c r="G20" s="48">
        <v>5.0000000000000001E-3</v>
      </c>
      <c r="H20" s="48">
        <v>2</v>
      </c>
      <c r="I20" s="48">
        <f t="shared" ref="I20:J21" si="7">G20</f>
        <v>5.0000000000000001E-3</v>
      </c>
      <c r="J20" s="48">
        <f t="shared" si="7"/>
        <v>2</v>
      </c>
      <c r="K20" s="48" t="s">
        <v>28</v>
      </c>
      <c r="L20" s="65" t="s">
        <v>19</v>
      </c>
    </row>
    <row r="21" spans="1:12" ht="20.100000000000001" customHeight="1" x14ac:dyDescent="0.3">
      <c r="A21" s="72" t="s">
        <v>181</v>
      </c>
      <c r="B21" s="103" t="s">
        <v>29</v>
      </c>
      <c r="D21" s="53">
        <v>7.0000000000000007E-2</v>
      </c>
      <c r="E21" s="48">
        <v>7.0000000000000007E-2</v>
      </c>
      <c r="F21" s="48">
        <v>7.0000000000000007E-2</v>
      </c>
      <c r="G21" s="48">
        <v>4.0000000000000001E-3</v>
      </c>
      <c r="H21" s="48">
        <v>1.4</v>
      </c>
      <c r="I21" s="48">
        <f t="shared" si="7"/>
        <v>4.0000000000000001E-3</v>
      </c>
      <c r="J21" s="48">
        <f t="shared" si="7"/>
        <v>1.4</v>
      </c>
      <c r="K21" s="48" t="s">
        <v>28</v>
      </c>
      <c r="L21" s="65" t="s">
        <v>19</v>
      </c>
    </row>
    <row r="22" spans="1:12" ht="20.100000000000001" customHeight="1" x14ac:dyDescent="0.3">
      <c r="A22" s="74" t="s">
        <v>151</v>
      </c>
      <c r="B22" s="105" t="s">
        <v>30</v>
      </c>
      <c r="D22" s="80"/>
      <c r="E22" s="80"/>
      <c r="F22" s="80"/>
      <c r="G22" s="80"/>
      <c r="H22" s="80"/>
      <c r="I22" s="80"/>
      <c r="J22" s="80"/>
      <c r="K22" s="80"/>
      <c r="L22" s="81"/>
    </row>
    <row r="23" spans="1:12" ht="20.100000000000001" customHeight="1" x14ac:dyDescent="0.3">
      <c r="A23" s="72" t="s">
        <v>224</v>
      </c>
      <c r="B23" s="106" t="s">
        <v>31</v>
      </c>
      <c r="D23" s="55">
        <f>((D24+D26)*D7+D25*D8)/D7</f>
        <v>0.60245000000000004</v>
      </c>
      <c r="E23" s="55">
        <f t="shared" ref="E23:I23" si="8">((E24+E26)*E7+E25*E8)/E7</f>
        <v>0.31875000000000003</v>
      </c>
      <c r="F23" s="55">
        <f t="shared" si="8"/>
        <v>0.11138756873507023</v>
      </c>
      <c r="G23" s="55">
        <f t="shared" si="8"/>
        <v>0.50790000000000002</v>
      </c>
      <c r="H23" s="55">
        <f t="shared" si="8"/>
        <v>1.2383500000000001</v>
      </c>
      <c r="I23" s="55">
        <f t="shared" si="8"/>
        <v>0.26554374000000003</v>
      </c>
      <c r="J23" s="55">
        <f>((J24+J26)*J7+J25*J8)/J7</f>
        <v>0.62444374000000002</v>
      </c>
      <c r="K23" s="51"/>
      <c r="L23" s="65"/>
    </row>
    <row r="24" spans="1:12" ht="20.100000000000001" customHeight="1" x14ac:dyDescent="0.3">
      <c r="A24" s="72" t="s">
        <v>152</v>
      </c>
      <c r="B24" s="107" t="s">
        <v>135</v>
      </c>
      <c r="D24" s="55">
        <f>0.2552+(1.0638/4)</f>
        <v>0.52115</v>
      </c>
      <c r="E24" s="55">
        <f>0.1188+(0.6292/4)</f>
        <v>0.27610000000000001</v>
      </c>
      <c r="F24" s="56">
        <f>Data!J17</f>
        <v>7.6931120861241514E-2</v>
      </c>
      <c r="G24" s="48">
        <v>0.44500000000000001</v>
      </c>
      <c r="H24" s="48">
        <v>1.0920000000000001</v>
      </c>
      <c r="I24" s="48">
        <v>0.23400000000000001</v>
      </c>
      <c r="J24" s="48">
        <v>0.54900000000000004</v>
      </c>
      <c r="K24" s="51" t="s">
        <v>32</v>
      </c>
      <c r="L24" s="65" t="s">
        <v>9</v>
      </c>
    </row>
    <row r="25" spans="1:12" ht="20.100000000000001" customHeight="1" x14ac:dyDescent="0.3">
      <c r="A25" s="72" t="s">
        <v>153</v>
      </c>
      <c r="B25" s="103" t="s">
        <v>34</v>
      </c>
      <c r="D25" s="55">
        <v>8.5199999999999998E-2</v>
      </c>
      <c r="E25" s="56">
        <v>5.0599999999999999E-2</v>
      </c>
      <c r="F25" s="56">
        <f>Data!J18</f>
        <v>1.7825791495314873E-2</v>
      </c>
      <c r="G25" s="55">
        <v>5.96E-2</v>
      </c>
      <c r="H25" s="55">
        <v>0.15340000000000001</v>
      </c>
      <c r="I25" s="55">
        <v>3.5400000000000001E-2</v>
      </c>
      <c r="J25" s="48">
        <v>9.0999999999999998E-2</v>
      </c>
      <c r="K25" s="51" t="s">
        <v>33</v>
      </c>
      <c r="L25" s="65" t="s">
        <v>9</v>
      </c>
    </row>
    <row r="26" spans="1:12" ht="20.100000000000001" customHeight="1" x14ac:dyDescent="0.3">
      <c r="A26" s="72" t="s">
        <v>156</v>
      </c>
      <c r="B26" s="103" t="s">
        <v>36</v>
      </c>
      <c r="D26" s="51">
        <v>0.06</v>
      </c>
      <c r="E26" s="56">
        <f>Data!H19</f>
        <v>0.03</v>
      </c>
      <c r="F26" s="56">
        <f>Data!J19</f>
        <v>0.03</v>
      </c>
      <c r="G26" s="49">
        <f>$D$26+($D$26*Uncertanties!L5)</f>
        <v>4.7999999999999994E-2</v>
      </c>
      <c r="H26" s="49">
        <f>$D$26+($D$26*Uncertanties!M5)</f>
        <v>0.10799999999999998</v>
      </c>
      <c r="I26" s="49">
        <f>$E$26+($E$26*Uncertanties!N5)</f>
        <v>2.2693740000000007E-2</v>
      </c>
      <c r="J26" s="49">
        <f>$E$26+($E$26*Uncertanties!O5)</f>
        <v>5.2693740000000003E-2</v>
      </c>
      <c r="K26" s="51" t="s">
        <v>35</v>
      </c>
      <c r="L26" s="65" t="s">
        <v>19</v>
      </c>
    </row>
    <row r="27" spans="1:12" ht="20.100000000000001" customHeight="1" x14ac:dyDescent="0.3">
      <c r="A27" s="72" t="s">
        <v>184</v>
      </c>
      <c r="B27" s="103" t="s">
        <v>57</v>
      </c>
      <c r="D27" s="57">
        <f>8.5*1.11</f>
        <v>9.4350000000000005</v>
      </c>
      <c r="E27" s="57">
        <f>Data!O20</f>
        <v>4.1278125000000001</v>
      </c>
      <c r="F27" s="57">
        <f>Data!P20</f>
        <v>3.8919375000000005</v>
      </c>
      <c r="G27" s="49">
        <f>3.4*1.11</f>
        <v>3.774</v>
      </c>
      <c r="H27" s="49">
        <f>17.3*1.11</f>
        <v>19.203000000000003</v>
      </c>
      <c r="I27" s="49">
        <f>$E$27+($E$27*Uncertanties!N6)</f>
        <v>1.651125</v>
      </c>
      <c r="J27" s="49">
        <f>$E$27+($E$27*Uncertanties!O6)</f>
        <v>8.4013124999999995</v>
      </c>
      <c r="K27" s="51" t="s">
        <v>37</v>
      </c>
      <c r="L27" s="65" t="s">
        <v>58</v>
      </c>
    </row>
    <row r="28" spans="1:12" ht="20.100000000000001" customHeight="1" x14ac:dyDescent="0.3">
      <c r="A28" s="72" t="s">
        <v>225</v>
      </c>
      <c r="B28" s="106" t="s">
        <v>39</v>
      </c>
      <c r="D28" s="58">
        <f>0.9*1.11</f>
        <v>0.99900000000000011</v>
      </c>
      <c r="E28" s="57">
        <f>Data!O21</f>
        <v>0.99900000000000011</v>
      </c>
      <c r="F28" s="57">
        <f>Data!P21</f>
        <v>0.99900000000000011</v>
      </c>
      <c r="G28" s="57">
        <f>0.2*1.11</f>
        <v>0.22200000000000003</v>
      </c>
      <c r="H28" s="57">
        <f>2.08*1.11</f>
        <v>2.3088000000000002</v>
      </c>
      <c r="I28" s="57">
        <f>0.2*1.11</f>
        <v>0.22200000000000003</v>
      </c>
      <c r="J28" s="57">
        <f>2.08*1.11</f>
        <v>2.3088000000000002</v>
      </c>
      <c r="K28" s="51"/>
      <c r="L28" s="65" t="s">
        <v>58</v>
      </c>
    </row>
    <row r="29" spans="1:12" ht="20.100000000000001" customHeight="1" x14ac:dyDescent="0.3">
      <c r="A29" s="74" t="s">
        <v>154</v>
      </c>
      <c r="B29" s="108" t="s">
        <v>40</v>
      </c>
      <c r="D29" s="59"/>
      <c r="E29" s="59"/>
      <c r="F29" s="59"/>
      <c r="G29" s="59"/>
      <c r="H29" s="59"/>
      <c r="I29" s="59"/>
      <c r="J29" s="59"/>
      <c r="K29" s="59"/>
      <c r="L29" s="67"/>
    </row>
    <row r="30" spans="1:12" ht="20.100000000000001" customHeight="1" x14ac:dyDescent="0.3">
      <c r="A30" s="75" t="s">
        <v>157</v>
      </c>
      <c r="B30" s="103" t="s">
        <v>133</v>
      </c>
      <c r="D30" s="56">
        <f t="shared" ref="D30:J30" si="9">((D24+D26)*D7+D25*D8)/D8</f>
        <v>2.4098000000000002</v>
      </c>
      <c r="E30" s="56">
        <f t="shared" si="9"/>
        <v>1.2750000000000001</v>
      </c>
      <c r="F30" s="56">
        <f t="shared" si="9"/>
        <v>0.44555027494028093</v>
      </c>
      <c r="G30" s="56">
        <f t="shared" si="9"/>
        <v>2.0316000000000001</v>
      </c>
      <c r="H30" s="56">
        <f t="shared" si="9"/>
        <v>4.9534000000000002</v>
      </c>
      <c r="I30" s="56">
        <f t="shared" si="9"/>
        <v>1.0621749600000001</v>
      </c>
      <c r="J30" s="56">
        <f t="shared" si="9"/>
        <v>2.4977749600000001</v>
      </c>
      <c r="K30" s="51"/>
      <c r="L30" s="65"/>
    </row>
    <row r="31" spans="1:12" ht="20.100000000000001" customHeight="1" x14ac:dyDescent="0.3">
      <c r="A31" s="72" t="s">
        <v>158</v>
      </c>
      <c r="B31" s="103" t="s">
        <v>42</v>
      </c>
      <c r="D31" s="58">
        <f>D33/(D7/D8)</f>
        <v>2.95</v>
      </c>
      <c r="E31" s="58">
        <f t="shared" ref="E31:J31" si="10">E33/(E7/E8)</f>
        <v>2.95</v>
      </c>
      <c r="F31" s="58">
        <f t="shared" si="10"/>
        <v>2.95</v>
      </c>
      <c r="G31" s="58">
        <f t="shared" si="10"/>
        <v>1.4750000000000001</v>
      </c>
      <c r="H31" s="58">
        <f t="shared" si="10"/>
        <v>3.6875</v>
      </c>
      <c r="I31" s="58">
        <f t="shared" si="10"/>
        <v>1.4750000000000001</v>
      </c>
      <c r="J31" s="58">
        <f t="shared" si="10"/>
        <v>3.6875</v>
      </c>
      <c r="K31" s="51"/>
      <c r="L31" s="66"/>
    </row>
    <row r="32" spans="1:12" ht="20.100000000000001" customHeight="1" x14ac:dyDescent="0.3">
      <c r="A32" s="72" t="s">
        <v>159</v>
      </c>
      <c r="B32" s="103" t="s">
        <v>43</v>
      </c>
      <c r="D32" s="60">
        <f>D34/(D7/D8)</f>
        <v>2260</v>
      </c>
      <c r="E32" s="60">
        <f t="shared" ref="E32:J32" si="11">E34/(E7/E8)</f>
        <v>2260</v>
      </c>
      <c r="F32" s="60">
        <f t="shared" si="11"/>
        <v>2260</v>
      </c>
      <c r="G32" s="60">
        <f t="shared" si="11"/>
        <v>1130</v>
      </c>
      <c r="H32" s="60">
        <f t="shared" si="11"/>
        <v>2825</v>
      </c>
      <c r="I32" s="60">
        <f t="shared" si="11"/>
        <v>1130</v>
      </c>
      <c r="J32" s="60">
        <f t="shared" si="11"/>
        <v>2825</v>
      </c>
      <c r="K32" s="48" t="s">
        <v>169</v>
      </c>
      <c r="L32" s="65"/>
    </row>
    <row r="33" spans="1:12" ht="20.100000000000001" customHeight="1" x14ac:dyDescent="0.3">
      <c r="A33" s="72" t="s">
        <v>160</v>
      </c>
      <c r="B33" s="103" t="s">
        <v>44</v>
      </c>
      <c r="D33" s="51">
        <v>11.8</v>
      </c>
      <c r="E33" s="48">
        <f t="shared" ref="E33:F34" si="12">D33</f>
        <v>11.8</v>
      </c>
      <c r="F33" s="48">
        <f t="shared" si="12"/>
        <v>11.8</v>
      </c>
      <c r="G33" s="51">
        <v>5.9</v>
      </c>
      <c r="H33" s="51">
        <v>14.75</v>
      </c>
      <c r="I33" s="51">
        <f t="shared" ref="I33:I34" si="13">G33</f>
        <v>5.9</v>
      </c>
      <c r="J33" s="51">
        <f t="shared" ref="J33:J34" si="14">H33</f>
        <v>14.75</v>
      </c>
      <c r="K33" s="54"/>
      <c r="L33" s="65" t="s">
        <v>19</v>
      </c>
    </row>
    <row r="34" spans="1:12" ht="20.100000000000001" customHeight="1" thickBot="1" x14ac:dyDescent="0.35">
      <c r="A34" s="72" t="s">
        <v>161</v>
      </c>
      <c r="B34" s="109" t="s">
        <v>45</v>
      </c>
      <c r="D34" s="68">
        <v>9040</v>
      </c>
      <c r="E34" s="69">
        <f t="shared" si="12"/>
        <v>9040</v>
      </c>
      <c r="F34" s="69">
        <f t="shared" si="12"/>
        <v>9040</v>
      </c>
      <c r="G34" s="68">
        <v>4520</v>
      </c>
      <c r="H34" s="68">
        <v>11300</v>
      </c>
      <c r="I34" s="68">
        <f t="shared" si="13"/>
        <v>4520</v>
      </c>
      <c r="J34" s="68">
        <f t="shared" si="14"/>
        <v>11300</v>
      </c>
      <c r="K34" s="70"/>
      <c r="L34" s="71" t="s">
        <v>19</v>
      </c>
    </row>
    <row r="37" spans="1:12" x14ac:dyDescent="0.3">
      <c r="D37" s="111" t="s">
        <v>170</v>
      </c>
    </row>
    <row r="38" spans="1:12" x14ac:dyDescent="0.3">
      <c r="C38" s="2" t="s">
        <v>18</v>
      </c>
      <c r="D38" s="1" t="s">
        <v>171</v>
      </c>
    </row>
    <row r="39" spans="1:12" x14ac:dyDescent="0.3">
      <c r="C39" s="3" t="s">
        <v>25</v>
      </c>
      <c r="D39" s="1" t="s">
        <v>172</v>
      </c>
    </row>
    <row r="40" spans="1:12" x14ac:dyDescent="0.3">
      <c r="C40" s="3" t="s">
        <v>28</v>
      </c>
      <c r="D40" s="1" t="s">
        <v>173</v>
      </c>
    </row>
    <row r="41" spans="1:12" x14ac:dyDescent="0.3">
      <c r="C41" s="3" t="s">
        <v>32</v>
      </c>
      <c r="D41" s="4" t="s">
        <v>174</v>
      </c>
    </row>
    <row r="42" spans="1:12" x14ac:dyDescent="0.3">
      <c r="C42" s="3" t="s">
        <v>33</v>
      </c>
      <c r="D42" s="4" t="s">
        <v>175</v>
      </c>
    </row>
    <row r="43" spans="1:12" x14ac:dyDescent="0.3">
      <c r="C43" s="3" t="s">
        <v>35</v>
      </c>
      <c r="D43" s="1" t="s">
        <v>176</v>
      </c>
    </row>
    <row r="44" spans="1:12" x14ac:dyDescent="0.3">
      <c r="C44" s="3" t="s">
        <v>37</v>
      </c>
      <c r="D44" s="1" t="s">
        <v>177</v>
      </c>
    </row>
    <row r="45" spans="1:12" x14ac:dyDescent="0.3">
      <c r="C45" s="3"/>
      <c r="D45" s="4"/>
    </row>
    <row r="46" spans="1:12" x14ac:dyDescent="0.3">
      <c r="D46" s="111" t="s">
        <v>46</v>
      </c>
    </row>
    <row r="47" spans="1:12" x14ac:dyDescent="0.3">
      <c r="C47" s="6" t="s">
        <v>9</v>
      </c>
      <c r="D47" s="4" t="s">
        <v>47</v>
      </c>
    </row>
    <row r="48" spans="1:12" x14ac:dyDescent="0.3">
      <c r="C48" s="6" t="s">
        <v>19</v>
      </c>
      <c r="D48" s="1" t="s">
        <v>86</v>
      </c>
    </row>
    <row r="49" spans="3:4" x14ac:dyDescent="0.3">
      <c r="C49" s="6" t="s">
        <v>15</v>
      </c>
      <c r="D49" s="5" t="s">
        <v>48</v>
      </c>
    </row>
    <row r="50" spans="3:4" x14ac:dyDescent="0.3">
      <c r="C50" s="6" t="s">
        <v>49</v>
      </c>
      <c r="D50" s="1" t="s">
        <v>50</v>
      </c>
    </row>
    <row r="51" spans="3:4" x14ac:dyDescent="0.3">
      <c r="C51" s="6" t="s">
        <v>51</v>
      </c>
      <c r="D51" s="1" t="s">
        <v>87</v>
      </c>
    </row>
    <row r="52" spans="3:4" x14ac:dyDescent="0.3">
      <c r="C52" s="6" t="s">
        <v>52</v>
      </c>
      <c r="D52" s="1" t="s">
        <v>53</v>
      </c>
    </row>
    <row r="53" spans="3:4" x14ac:dyDescent="0.3">
      <c r="C53" s="6" t="s">
        <v>54</v>
      </c>
      <c r="D53" s="1" t="s">
        <v>88</v>
      </c>
    </row>
    <row r="54" spans="3:4" x14ac:dyDescent="0.3">
      <c r="C54" s="6" t="s">
        <v>38</v>
      </c>
      <c r="D54" s="17" t="s">
        <v>89</v>
      </c>
    </row>
  </sheetData>
  <mergeCells count="5">
    <mergeCell ref="G3:H3"/>
    <mergeCell ref="D2:L2"/>
    <mergeCell ref="I3:J3"/>
    <mergeCell ref="D5:F5"/>
    <mergeCell ref="D6:F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topLeftCell="A19" zoomScale="71" zoomScaleNormal="71" workbookViewId="0">
      <selection activeCell="M11" sqref="M11"/>
    </sheetView>
  </sheetViews>
  <sheetFormatPr baseColWidth="10" defaultColWidth="11.42578125" defaultRowHeight="18" x14ac:dyDescent="0.25"/>
  <cols>
    <col min="1" max="1" width="87.42578125" style="62" customWidth="1"/>
    <col min="2" max="2" width="67.140625" style="62" hidden="1" customWidth="1"/>
    <col min="3" max="3" width="5.7109375" style="18" customWidth="1"/>
    <col min="4" max="4" width="9.85546875" style="34" customWidth="1"/>
    <col min="5" max="8" width="9.85546875" style="14" customWidth="1"/>
    <col min="9" max="9" width="14" style="14" customWidth="1"/>
    <col min="10" max="10" width="9.85546875" style="14" customWidth="1"/>
    <col min="11" max="11" width="14" style="14" customWidth="1"/>
    <col min="12" max="12" width="15.85546875" style="14" customWidth="1"/>
    <col min="13" max="13" width="71.85546875" style="14" customWidth="1"/>
    <col min="14" max="16" width="9.85546875" style="14" customWidth="1"/>
    <col min="17" max="17" width="23" style="14" customWidth="1"/>
    <col min="18" max="16384" width="11.42578125" style="14"/>
  </cols>
  <sheetData>
    <row r="1" spans="1:17" ht="75" x14ac:dyDescent="0.25">
      <c r="A1" s="117"/>
      <c r="B1" s="18"/>
      <c r="D1" s="83"/>
      <c r="E1" s="82"/>
      <c r="F1" s="82"/>
      <c r="G1" s="82"/>
      <c r="H1" s="82"/>
      <c r="I1" s="79" t="s">
        <v>195</v>
      </c>
      <c r="J1" s="82"/>
      <c r="K1" s="79" t="s">
        <v>196</v>
      </c>
      <c r="L1" s="82"/>
      <c r="M1" s="114" t="s">
        <v>197</v>
      </c>
      <c r="N1" s="94" t="s">
        <v>229</v>
      </c>
      <c r="O1" s="92"/>
      <c r="P1" s="92"/>
      <c r="Q1" s="90" t="s">
        <v>199</v>
      </c>
    </row>
    <row r="2" spans="1:17" x14ac:dyDescent="0.3">
      <c r="A2" s="15" t="s">
        <v>178</v>
      </c>
      <c r="B2" s="18" t="s">
        <v>3</v>
      </c>
      <c r="D2" s="83" t="s">
        <v>59</v>
      </c>
      <c r="E2" s="83">
        <v>2016</v>
      </c>
      <c r="F2" s="83">
        <v>2020</v>
      </c>
      <c r="G2" s="83">
        <v>2025</v>
      </c>
      <c r="H2" s="83">
        <v>2030</v>
      </c>
      <c r="I2" s="83" t="s">
        <v>55</v>
      </c>
      <c r="J2" s="83">
        <v>2050</v>
      </c>
      <c r="K2" s="83"/>
      <c r="L2" s="83" t="s">
        <v>198</v>
      </c>
      <c r="M2" s="114"/>
      <c r="N2" s="19">
        <v>2020</v>
      </c>
      <c r="O2" s="19">
        <v>2030</v>
      </c>
      <c r="P2" s="21">
        <v>2050</v>
      </c>
      <c r="Q2" s="90"/>
    </row>
    <row r="3" spans="1:17" ht="30" customHeight="1" x14ac:dyDescent="0.25">
      <c r="A3" s="113" t="s">
        <v>140</v>
      </c>
      <c r="B3" s="18" t="s">
        <v>91</v>
      </c>
      <c r="D3" s="22" t="s">
        <v>60</v>
      </c>
      <c r="E3" s="14">
        <v>6.65</v>
      </c>
      <c r="F3" s="14">
        <f>E3</f>
        <v>6.65</v>
      </c>
      <c r="G3" s="14">
        <f t="shared" ref="G3:H3" si="0">F3</f>
        <v>6.65</v>
      </c>
      <c r="H3" s="14">
        <f t="shared" si="0"/>
        <v>6.65</v>
      </c>
      <c r="J3" s="14">
        <f>H3</f>
        <v>6.65</v>
      </c>
      <c r="L3" s="91" t="s">
        <v>9</v>
      </c>
      <c r="M3" s="115" t="s">
        <v>200</v>
      </c>
    </row>
    <row r="4" spans="1:17" ht="30" customHeight="1" x14ac:dyDescent="0.25">
      <c r="A4" s="113" t="s">
        <v>141</v>
      </c>
      <c r="B4" s="18" t="s">
        <v>92</v>
      </c>
      <c r="D4" s="22" t="s">
        <v>61</v>
      </c>
      <c r="E4" s="14">
        <v>1.66</v>
      </c>
      <c r="F4" s="14">
        <f t="shared" ref="F4:H5" si="1">E4</f>
        <v>1.66</v>
      </c>
      <c r="G4" s="14">
        <f t="shared" si="1"/>
        <v>1.66</v>
      </c>
      <c r="H4" s="14">
        <f t="shared" si="1"/>
        <v>1.66</v>
      </c>
      <c r="J4" s="14">
        <f t="shared" ref="J4:J5" si="2">H4</f>
        <v>1.66</v>
      </c>
      <c r="L4" s="91"/>
      <c r="M4" s="115"/>
    </row>
    <row r="5" spans="1:17" ht="30" customHeight="1" x14ac:dyDescent="0.25">
      <c r="A5" s="113" t="s">
        <v>233</v>
      </c>
      <c r="B5" s="18" t="s">
        <v>93</v>
      </c>
      <c r="D5" s="22" t="s">
        <v>62</v>
      </c>
      <c r="E5" s="14">
        <v>1.66</v>
      </c>
      <c r="F5" s="14">
        <f t="shared" si="1"/>
        <v>1.66</v>
      </c>
      <c r="G5" s="14">
        <f t="shared" si="1"/>
        <v>1.66</v>
      </c>
      <c r="H5" s="14">
        <f t="shared" si="1"/>
        <v>1.66</v>
      </c>
      <c r="J5" s="14">
        <f t="shared" si="2"/>
        <v>1.66</v>
      </c>
      <c r="L5" s="91"/>
      <c r="M5" s="115"/>
    </row>
    <row r="6" spans="1:17" ht="54" customHeight="1" x14ac:dyDescent="0.25">
      <c r="A6" s="113" t="s">
        <v>155</v>
      </c>
      <c r="B6" s="18" t="s">
        <v>94</v>
      </c>
      <c r="D6" s="22" t="s">
        <v>63</v>
      </c>
      <c r="F6" s="14">
        <v>73</v>
      </c>
      <c r="H6" s="14">
        <v>73</v>
      </c>
      <c r="I6" s="23"/>
      <c r="J6" s="24">
        <v>73</v>
      </c>
      <c r="K6" s="23"/>
      <c r="L6" s="25" t="s">
        <v>131</v>
      </c>
      <c r="M6" s="116" t="s">
        <v>235</v>
      </c>
      <c r="O6" s="26"/>
      <c r="P6" s="26"/>
    </row>
    <row r="7" spans="1:17" ht="30" customHeight="1" x14ac:dyDescent="0.25">
      <c r="A7" s="113" t="s">
        <v>142</v>
      </c>
      <c r="B7" s="18" t="s">
        <v>95</v>
      </c>
      <c r="D7" s="22" t="s">
        <v>64</v>
      </c>
      <c r="F7" s="27">
        <f>POWER(F6/100,0.5)*100</f>
        <v>85.440037453175307</v>
      </c>
      <c r="H7" s="27">
        <f>POWER(H6/100,0.5)*100</f>
        <v>85.440037453175307</v>
      </c>
      <c r="J7" s="27">
        <f>POWER(J6/100,0.5)*100</f>
        <v>85.440037453175307</v>
      </c>
      <c r="L7" s="93"/>
      <c r="M7" s="115" t="s">
        <v>236</v>
      </c>
      <c r="N7" s="28"/>
      <c r="O7" s="28"/>
      <c r="P7" s="28"/>
    </row>
    <row r="8" spans="1:17" ht="30" customHeight="1" x14ac:dyDescent="0.25">
      <c r="A8" s="113" t="s">
        <v>143</v>
      </c>
      <c r="B8" s="18" t="s">
        <v>96</v>
      </c>
      <c r="D8" s="22" t="s">
        <v>65</v>
      </c>
      <c r="F8" s="27">
        <f>POWER(F6/100,0.5)*100</f>
        <v>85.440037453175307</v>
      </c>
      <c r="H8" s="27">
        <f>POWER(H6/100,0.5)*100</f>
        <v>85.440037453175307</v>
      </c>
      <c r="J8" s="27">
        <f>POWER(J6/100,0.5)*100</f>
        <v>85.440037453175307</v>
      </c>
      <c r="K8" s="24"/>
      <c r="L8" s="93"/>
      <c r="M8" s="115"/>
      <c r="N8" s="28"/>
      <c r="O8" s="28"/>
      <c r="P8" s="28"/>
    </row>
    <row r="9" spans="1:17" ht="60" customHeight="1" x14ac:dyDescent="0.25">
      <c r="A9" s="113" t="s">
        <v>179</v>
      </c>
      <c r="B9" s="18" t="s">
        <v>97</v>
      </c>
      <c r="D9" s="22" t="s">
        <v>66</v>
      </c>
      <c r="F9" s="14">
        <v>0.2</v>
      </c>
      <c r="H9" s="14">
        <v>0.2</v>
      </c>
      <c r="J9" s="27">
        <v>0.2</v>
      </c>
      <c r="K9" s="24"/>
      <c r="L9" s="25" t="s">
        <v>9</v>
      </c>
      <c r="M9" s="116" t="s">
        <v>237</v>
      </c>
    </row>
    <row r="10" spans="1:17" ht="60" customHeight="1" x14ac:dyDescent="0.25">
      <c r="A10" s="113" t="s">
        <v>145</v>
      </c>
      <c r="B10" s="18" t="s">
        <v>98</v>
      </c>
      <c r="D10" s="22" t="s">
        <v>67</v>
      </c>
      <c r="F10" s="14">
        <v>0.5</v>
      </c>
      <c r="H10" s="14">
        <v>0.5</v>
      </c>
      <c r="J10" s="29">
        <v>0.5</v>
      </c>
      <c r="K10" s="29"/>
      <c r="L10" s="25" t="s">
        <v>19</v>
      </c>
      <c r="M10" s="116" t="s">
        <v>201</v>
      </c>
    </row>
    <row r="11" spans="1:17" ht="60" customHeight="1" x14ac:dyDescent="0.25">
      <c r="A11" s="113" t="s">
        <v>146</v>
      </c>
      <c r="B11" s="18" t="s">
        <v>99</v>
      </c>
      <c r="D11" s="22" t="s">
        <v>68</v>
      </c>
      <c r="F11" s="14">
        <v>0</v>
      </c>
      <c r="H11" s="14">
        <v>0</v>
      </c>
      <c r="J11" s="24">
        <v>0</v>
      </c>
      <c r="K11" s="29"/>
      <c r="L11" s="25" t="s">
        <v>132</v>
      </c>
      <c r="M11" s="116" t="s">
        <v>238</v>
      </c>
    </row>
    <row r="12" spans="1:17" ht="60" customHeight="1" x14ac:dyDescent="0.25">
      <c r="A12" s="113" t="s">
        <v>147</v>
      </c>
      <c r="B12" s="18" t="s">
        <v>100</v>
      </c>
      <c r="D12" s="22" t="s">
        <v>69</v>
      </c>
      <c r="F12" s="14">
        <v>14</v>
      </c>
      <c r="H12" s="14">
        <f>F12</f>
        <v>14</v>
      </c>
      <c r="J12" s="14">
        <f>H12</f>
        <v>14</v>
      </c>
      <c r="K12" s="27"/>
      <c r="L12" s="9" t="s">
        <v>23</v>
      </c>
      <c r="M12" s="116" t="s">
        <v>239</v>
      </c>
    </row>
    <row r="13" spans="1:17" ht="27" customHeight="1" x14ac:dyDescent="0.25">
      <c r="A13" s="113" t="s">
        <v>148</v>
      </c>
      <c r="B13" s="18" t="s">
        <v>101</v>
      </c>
      <c r="D13" s="22" t="s">
        <v>70</v>
      </c>
      <c r="F13" s="14">
        <v>1</v>
      </c>
      <c r="H13" s="14">
        <v>1</v>
      </c>
      <c r="J13" s="29">
        <v>1</v>
      </c>
      <c r="K13" s="29"/>
      <c r="L13" s="91" t="s">
        <v>19</v>
      </c>
      <c r="M13" s="115" t="s">
        <v>240</v>
      </c>
    </row>
    <row r="14" spans="1:17" x14ac:dyDescent="0.25">
      <c r="A14" s="113" t="s">
        <v>180</v>
      </c>
      <c r="B14" s="18" t="s">
        <v>102</v>
      </c>
      <c r="D14" s="22" t="s">
        <v>71</v>
      </c>
      <c r="F14" s="14">
        <v>0.1</v>
      </c>
      <c r="H14" s="14">
        <v>0.1</v>
      </c>
      <c r="J14" s="29">
        <v>0.1</v>
      </c>
      <c r="K14" s="29"/>
      <c r="L14" s="91"/>
      <c r="M14" s="115"/>
    </row>
    <row r="15" spans="1:17" ht="45.75" customHeight="1" x14ac:dyDescent="0.25">
      <c r="A15" s="113" t="s">
        <v>181</v>
      </c>
      <c r="B15" s="18" t="s">
        <v>103</v>
      </c>
      <c r="D15" s="22" t="s">
        <v>72</v>
      </c>
      <c r="F15" s="14">
        <v>7.0000000000000007E-2</v>
      </c>
      <c r="H15" s="14">
        <v>7.0000000000000007E-2</v>
      </c>
      <c r="J15" s="14">
        <v>7.0000000000000007E-2</v>
      </c>
      <c r="K15" s="29"/>
      <c r="L15" s="91"/>
      <c r="M15" s="115"/>
    </row>
    <row r="16" spans="1:17" ht="60" customHeight="1" x14ac:dyDescent="0.25">
      <c r="A16" s="113" t="s">
        <v>223</v>
      </c>
      <c r="B16" s="18" t="s">
        <v>104</v>
      </c>
      <c r="D16" s="22" t="s">
        <v>73</v>
      </c>
      <c r="F16" s="28">
        <f>((F17+F19)*F3+F18*F4)/F3</f>
        <v>0.602417969924812</v>
      </c>
      <c r="H16" s="28">
        <f>((H17+H19)*H3+H18*H4)/H3</f>
        <v>0.31873097744360906</v>
      </c>
      <c r="J16" s="28">
        <f>((J17+J19)*J3+J18*J4)/J3</f>
        <v>0.11138086730969605</v>
      </c>
      <c r="K16" s="28"/>
      <c r="L16" s="91" t="s">
        <v>9</v>
      </c>
      <c r="M16" s="116" t="s">
        <v>241</v>
      </c>
    </row>
    <row r="17" spans="1:17" ht="39.950000000000003" customHeight="1" x14ac:dyDescent="0.25">
      <c r="A17" s="113" t="s">
        <v>222</v>
      </c>
      <c r="B17" s="18" t="s">
        <v>105</v>
      </c>
      <c r="D17" s="22" t="s">
        <v>74</v>
      </c>
      <c r="E17" s="14">
        <v>0.67462500000000003</v>
      </c>
      <c r="F17" s="14">
        <v>0.52115</v>
      </c>
      <c r="G17" s="14">
        <v>0.37874999999999998</v>
      </c>
      <c r="H17" s="14">
        <v>0.27610000000000001</v>
      </c>
      <c r="J17" s="28">
        <f>4.89946048324775E+55*EXP(-0.063803*J2)</f>
        <v>7.6931120861241514E-2</v>
      </c>
      <c r="K17" s="28"/>
      <c r="L17" s="91"/>
      <c r="M17" s="115" t="s">
        <v>242</v>
      </c>
    </row>
    <row r="18" spans="1:17" ht="39.950000000000003" customHeight="1" x14ac:dyDescent="0.25">
      <c r="A18" s="113" t="s">
        <v>221</v>
      </c>
      <c r="B18" s="18" t="s">
        <v>106</v>
      </c>
      <c r="D18" s="22" t="s">
        <v>75</v>
      </c>
      <c r="E18" s="14">
        <v>0.105</v>
      </c>
      <c r="F18" s="14">
        <v>8.5199999999999998E-2</v>
      </c>
      <c r="G18" s="14">
        <v>6.5600000000000006E-2</v>
      </c>
      <c r="H18" s="14">
        <v>5.0599999999999999E-2</v>
      </c>
      <c r="J18" s="28">
        <f>4.84984622498763E+44*EXP(-0.052156*J2)</f>
        <v>1.7825791495314873E-2</v>
      </c>
      <c r="K18" s="28"/>
      <c r="L18" s="91"/>
      <c r="M18" s="115"/>
    </row>
    <row r="19" spans="1:17" ht="50.1" customHeight="1" x14ac:dyDescent="0.25">
      <c r="A19" s="113" t="s">
        <v>182</v>
      </c>
      <c r="B19" s="12" t="s">
        <v>107</v>
      </c>
      <c r="D19" s="22" t="s">
        <v>76</v>
      </c>
      <c r="F19" s="14">
        <v>0.06</v>
      </c>
      <c r="H19" s="14">
        <v>0.03</v>
      </c>
      <c r="I19" s="30">
        <f>(H19-F19)/F19</f>
        <v>-0.5</v>
      </c>
      <c r="J19" s="29">
        <v>0.03</v>
      </c>
      <c r="K19" s="30">
        <f>(J19-H19)/H19</f>
        <v>0</v>
      </c>
      <c r="L19" s="25" t="s">
        <v>19</v>
      </c>
      <c r="M19" s="116" t="s">
        <v>243</v>
      </c>
      <c r="O19" s="31"/>
      <c r="P19" s="31"/>
    </row>
    <row r="20" spans="1:17" ht="39.950000000000003" customHeight="1" x14ac:dyDescent="0.25">
      <c r="A20" s="113" t="s">
        <v>184</v>
      </c>
      <c r="B20" s="18" t="s">
        <v>108</v>
      </c>
      <c r="D20" s="22" t="s">
        <v>77</v>
      </c>
      <c r="F20" s="14">
        <f>(0.6*1.11)*1000*(2/0.5)*0.02</f>
        <v>53.28</v>
      </c>
      <c r="H20" s="14">
        <f>(0.35*1.11)*1000*(2/0.5)*0.015</f>
        <v>23.31</v>
      </c>
      <c r="I20" s="30">
        <f>(H20-F20)/F20</f>
        <v>-0.5625</v>
      </c>
      <c r="J20" s="14">
        <f>(0.33*1.11)*1000*(2/0.5)*0.015</f>
        <v>21.978000000000002</v>
      </c>
      <c r="K20" s="30">
        <f>(J20-H20)/H20</f>
        <v>-5.7142857142857023E-2</v>
      </c>
      <c r="L20" s="91" t="s">
        <v>19</v>
      </c>
      <c r="M20" s="115" t="s">
        <v>244</v>
      </c>
      <c r="N20" s="29">
        <f>VRF!D27</f>
        <v>9.4350000000000005</v>
      </c>
      <c r="O20" s="32">
        <f>N20*(1+I20)</f>
        <v>4.1278125000000001</v>
      </c>
      <c r="P20" s="32">
        <f>O20*(1+K20)</f>
        <v>3.8919375000000005</v>
      </c>
      <c r="Q20" s="25" t="s">
        <v>203</v>
      </c>
    </row>
    <row r="21" spans="1:17" ht="39.950000000000003" customHeight="1" x14ac:dyDescent="0.25">
      <c r="A21" s="113" t="s">
        <v>183</v>
      </c>
      <c r="B21" s="18" t="s">
        <v>109</v>
      </c>
      <c r="D21" s="22" t="s">
        <v>78</v>
      </c>
      <c r="E21" s="29"/>
      <c r="F21" s="14">
        <f>0.9*1.11</f>
        <v>0.99900000000000011</v>
      </c>
      <c r="G21" s="29"/>
      <c r="H21" s="14">
        <f>0.9*1.11</f>
        <v>0.99900000000000011</v>
      </c>
      <c r="I21" s="30">
        <f>(H21-F21)/F21</f>
        <v>0</v>
      </c>
      <c r="J21" s="14">
        <f>0.9*1.11</f>
        <v>0.99900000000000011</v>
      </c>
      <c r="K21" s="30">
        <f>(J21-H21)/H21</f>
        <v>0</v>
      </c>
      <c r="L21" s="91"/>
      <c r="M21" s="115"/>
      <c r="N21" s="29">
        <f>VRF!D28</f>
        <v>0.99900000000000011</v>
      </c>
      <c r="O21" s="32">
        <f>N21*(1+I21)</f>
        <v>0.99900000000000011</v>
      </c>
      <c r="P21" s="32">
        <f>O21*(1+K21)</f>
        <v>0.99900000000000011</v>
      </c>
    </row>
    <row r="22" spans="1:17" ht="60" x14ac:dyDescent="0.25">
      <c r="A22" s="113" t="s">
        <v>185</v>
      </c>
      <c r="B22" s="18" t="s">
        <v>90</v>
      </c>
      <c r="D22" s="22" t="s">
        <v>79</v>
      </c>
      <c r="F22" s="28">
        <f>((F17+F19)*F3+F18*F4)/F4</f>
        <v>2.4133009036144579</v>
      </c>
      <c r="H22" s="28">
        <f>((H17+H19)*H3+H18*H4)/H4</f>
        <v>1.2768439759036148</v>
      </c>
      <c r="J22" s="28">
        <f>((J17+J19)*J3+J18*J4)/J4</f>
        <v>0.44619443831896316</v>
      </c>
      <c r="K22" s="29"/>
      <c r="L22" s="25"/>
      <c r="M22" s="116" t="s">
        <v>245</v>
      </c>
    </row>
    <row r="23" spans="1:17" ht="60" x14ac:dyDescent="0.25">
      <c r="A23" s="113" t="s">
        <v>186</v>
      </c>
      <c r="B23" s="13" t="s">
        <v>41</v>
      </c>
      <c r="D23" s="10" t="s">
        <v>80</v>
      </c>
      <c r="E23" s="14">
        <v>13000</v>
      </c>
      <c r="F23" s="14">
        <v>13000</v>
      </c>
      <c r="G23" s="14">
        <v>13000</v>
      </c>
      <c r="H23" s="14">
        <v>13000</v>
      </c>
      <c r="J23" s="24">
        <f>H23</f>
        <v>13000</v>
      </c>
      <c r="K23" s="29"/>
      <c r="L23" s="25" t="s">
        <v>9</v>
      </c>
      <c r="M23" s="116" t="s">
        <v>246</v>
      </c>
    </row>
    <row r="24" spans="1:17" ht="60" customHeight="1" x14ac:dyDescent="0.25">
      <c r="A24" s="112" t="s">
        <v>187</v>
      </c>
      <c r="B24" s="13" t="s">
        <v>191</v>
      </c>
      <c r="D24" s="9" t="s">
        <v>81</v>
      </c>
      <c r="F24" s="29">
        <f>F26/(F3/F4)</f>
        <v>2.9455639097744362</v>
      </c>
      <c r="H24" s="29">
        <f>H26/(H3/H4)</f>
        <v>2.9455639097744362</v>
      </c>
      <c r="J24" s="29">
        <f>J26/(J3/J4)</f>
        <v>2.9455639097744362</v>
      </c>
      <c r="K24" s="24"/>
      <c r="L24" s="91" t="s">
        <v>19</v>
      </c>
      <c r="M24" s="116" t="s">
        <v>247</v>
      </c>
    </row>
    <row r="25" spans="1:17" ht="60" customHeight="1" x14ac:dyDescent="0.25">
      <c r="A25" s="113" t="s">
        <v>188</v>
      </c>
      <c r="B25" s="13" t="s">
        <v>192</v>
      </c>
      <c r="D25" s="9" t="s">
        <v>82</v>
      </c>
      <c r="F25" s="24">
        <f>F27/(F3/F4)</f>
        <v>2256.6015037593984</v>
      </c>
      <c r="H25" s="24">
        <f>H27/(H3/H4)</f>
        <v>2256.6015037593984</v>
      </c>
      <c r="J25" s="24">
        <f>J27/(J3/J4)</f>
        <v>2256.6015037593984</v>
      </c>
      <c r="L25" s="91"/>
      <c r="M25" s="116" t="s">
        <v>247</v>
      </c>
    </row>
    <row r="26" spans="1:17" x14ac:dyDescent="0.25">
      <c r="A26" s="113" t="s">
        <v>189</v>
      </c>
      <c r="B26" s="13" t="s">
        <v>193</v>
      </c>
      <c r="D26" s="9" t="s">
        <v>83</v>
      </c>
      <c r="F26" s="14">
        <v>11.8</v>
      </c>
      <c r="H26" s="14">
        <v>11.8</v>
      </c>
      <c r="J26" s="14">
        <v>11.8</v>
      </c>
      <c r="L26" s="91"/>
      <c r="M26" s="115" t="s">
        <v>202</v>
      </c>
    </row>
    <row r="27" spans="1:17" x14ac:dyDescent="0.25">
      <c r="A27" s="113" t="s">
        <v>190</v>
      </c>
      <c r="B27" s="13" t="s">
        <v>194</v>
      </c>
      <c r="D27" s="11" t="s">
        <v>84</v>
      </c>
      <c r="F27" s="14">
        <v>9040</v>
      </c>
      <c r="H27" s="14">
        <v>9040</v>
      </c>
      <c r="J27" s="14">
        <v>9040</v>
      </c>
      <c r="L27" s="91"/>
      <c r="M27" s="115"/>
    </row>
    <row r="30" spans="1:17" s="20" customFormat="1" x14ac:dyDescent="0.3">
      <c r="A30" s="62"/>
      <c r="B30" s="61"/>
      <c r="C30" s="6" t="s">
        <v>9</v>
      </c>
      <c r="D30" s="4" t="s">
        <v>47</v>
      </c>
      <c r="E30" s="33"/>
    </row>
    <row r="31" spans="1:17" s="20" customFormat="1" x14ac:dyDescent="0.3">
      <c r="A31" s="62"/>
      <c r="B31" s="61"/>
      <c r="C31" s="6" t="s">
        <v>19</v>
      </c>
      <c r="D31" s="1" t="s">
        <v>86</v>
      </c>
      <c r="E31" s="33"/>
    </row>
    <row r="32" spans="1:17" s="20" customFormat="1" ht="15" x14ac:dyDescent="0.3">
      <c r="A32" s="61"/>
      <c r="B32" s="61"/>
      <c r="C32" s="6" t="s">
        <v>15</v>
      </c>
      <c r="D32" s="5" t="s">
        <v>48</v>
      </c>
      <c r="E32" s="33"/>
    </row>
    <row r="33" spans="1:5" s="20" customFormat="1" ht="15" x14ac:dyDescent="0.3">
      <c r="A33" s="61"/>
      <c r="B33" s="61"/>
      <c r="C33" s="6" t="s">
        <v>49</v>
      </c>
      <c r="D33" s="1" t="s">
        <v>50</v>
      </c>
      <c r="E33" s="33"/>
    </row>
    <row r="34" spans="1:5" s="20" customFormat="1" ht="15" x14ac:dyDescent="0.3">
      <c r="A34" s="61"/>
      <c r="B34" s="61"/>
      <c r="C34" s="6" t="s">
        <v>51</v>
      </c>
      <c r="D34" s="1" t="s">
        <v>87</v>
      </c>
      <c r="E34" s="33"/>
    </row>
    <row r="35" spans="1:5" s="20" customFormat="1" ht="15" x14ac:dyDescent="0.3">
      <c r="A35" s="61"/>
      <c r="B35" s="61"/>
      <c r="C35" s="6" t="s">
        <v>52</v>
      </c>
      <c r="D35" s="1" t="s">
        <v>53</v>
      </c>
      <c r="E35" s="33"/>
    </row>
    <row r="36" spans="1:5" s="20" customFormat="1" ht="15" x14ac:dyDescent="0.3">
      <c r="A36" s="61"/>
      <c r="B36" s="61"/>
      <c r="C36" s="6" t="s">
        <v>54</v>
      </c>
      <c r="D36" s="1" t="s">
        <v>88</v>
      </c>
      <c r="E36" s="33"/>
    </row>
    <row r="37" spans="1:5" s="20" customFormat="1" ht="15" x14ac:dyDescent="0.3">
      <c r="A37" s="61"/>
      <c r="B37" s="61"/>
      <c r="C37" s="6" t="s">
        <v>38</v>
      </c>
      <c r="D37" s="17" t="s">
        <v>89</v>
      </c>
      <c r="E37" s="33"/>
    </row>
    <row r="38" spans="1:5" x14ac:dyDescent="0.25">
      <c r="A38" s="61"/>
    </row>
    <row r="39" spans="1:5" x14ac:dyDescent="0.25">
      <c r="A39" s="61"/>
    </row>
  </sheetData>
  <mergeCells count="15">
    <mergeCell ref="Q1:Q2"/>
    <mergeCell ref="L13:L15"/>
    <mergeCell ref="M13:M15"/>
    <mergeCell ref="L7:L8"/>
    <mergeCell ref="L24:L27"/>
    <mergeCell ref="M7:M8"/>
    <mergeCell ref="M17:M18"/>
    <mergeCell ref="N1:P1"/>
    <mergeCell ref="L16:L18"/>
    <mergeCell ref="L3:L5"/>
    <mergeCell ref="M1:M2"/>
    <mergeCell ref="M3:M5"/>
    <mergeCell ref="L20:L21"/>
    <mergeCell ref="M20:M21"/>
    <mergeCell ref="M26:M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0"/>
  <sheetViews>
    <sheetView tabSelected="1" topLeftCell="A22" zoomScale="73" zoomScaleNormal="73" workbookViewId="0">
      <selection activeCell="AB10" sqref="AB10"/>
    </sheetView>
  </sheetViews>
  <sheetFormatPr baseColWidth="10" defaultColWidth="11.42578125" defaultRowHeight="18" x14ac:dyDescent="0.25"/>
  <cols>
    <col min="1" max="1" width="90.140625" style="35" customWidth="1"/>
    <col min="2" max="2" width="60" style="35" hidden="1" customWidth="1"/>
    <col min="3" max="3" width="5.7109375" style="35" customWidth="1"/>
    <col min="4" max="10" width="9.28515625" style="35" customWidth="1"/>
    <col min="11" max="11" width="11.5703125" style="35" customWidth="1"/>
    <col min="12" max="12" width="9.28515625" style="35" customWidth="1"/>
    <col min="13" max="18" width="9" style="35" customWidth="1"/>
    <col min="19" max="27" width="9" style="35" hidden="1" customWidth="1"/>
    <col min="28" max="28" width="48.42578125" style="35" customWidth="1"/>
    <col min="29" max="29" width="9.85546875" style="35" customWidth="1"/>
    <col min="30" max="16384" width="11.42578125" style="35"/>
  </cols>
  <sheetData>
    <row r="1" spans="1:28" ht="30" x14ac:dyDescent="0.25">
      <c r="B1" s="7"/>
      <c r="D1" s="7"/>
      <c r="E1" s="7"/>
      <c r="F1" s="7"/>
      <c r="G1" s="95" t="s">
        <v>213</v>
      </c>
      <c r="H1" s="95"/>
      <c r="I1" s="95" t="s">
        <v>214</v>
      </c>
      <c r="J1" s="95"/>
      <c r="K1" s="7"/>
      <c r="L1" s="95" t="s">
        <v>215</v>
      </c>
      <c r="M1" s="95"/>
      <c r="N1" s="95" t="s">
        <v>216</v>
      </c>
      <c r="O1" s="95"/>
      <c r="P1" s="95" t="s">
        <v>217</v>
      </c>
      <c r="Q1" s="95"/>
      <c r="R1" s="7"/>
      <c r="S1" s="16" t="s">
        <v>0</v>
      </c>
      <c r="T1" s="16" t="s">
        <v>1</v>
      </c>
      <c r="U1" s="16" t="s">
        <v>2</v>
      </c>
      <c r="V1" s="7"/>
      <c r="W1" s="7"/>
      <c r="X1" s="7"/>
      <c r="Y1" s="7"/>
      <c r="Z1" s="7"/>
      <c r="AA1" s="7"/>
      <c r="AB1" s="16" t="s">
        <v>212</v>
      </c>
    </row>
    <row r="2" spans="1:28" ht="30" customHeight="1" x14ac:dyDescent="0.25">
      <c r="A2" s="76" t="s">
        <v>178</v>
      </c>
      <c r="B2" s="15" t="s">
        <v>3</v>
      </c>
      <c r="D2" s="16">
        <v>2020</v>
      </c>
      <c r="E2" s="16">
        <v>2030</v>
      </c>
      <c r="F2" s="16">
        <v>2050</v>
      </c>
      <c r="G2" s="7" t="s">
        <v>167</v>
      </c>
      <c r="H2" s="7" t="s">
        <v>168</v>
      </c>
      <c r="I2" s="7" t="s">
        <v>167</v>
      </c>
      <c r="J2" s="7" t="s">
        <v>168</v>
      </c>
      <c r="K2" s="7" t="s">
        <v>198</v>
      </c>
      <c r="L2" s="7" t="s">
        <v>167</v>
      </c>
      <c r="M2" s="7" t="s">
        <v>168</v>
      </c>
      <c r="N2" s="7" t="s">
        <v>167</v>
      </c>
      <c r="O2" s="7" t="s">
        <v>168</v>
      </c>
      <c r="P2" s="7" t="s">
        <v>167</v>
      </c>
      <c r="Q2" s="7" t="s">
        <v>168</v>
      </c>
      <c r="R2" s="7"/>
      <c r="S2" s="16">
        <v>2020</v>
      </c>
      <c r="T2" s="8">
        <f>L3</f>
        <v>-0.20512820512820512</v>
      </c>
      <c r="U2" s="8">
        <f>M3</f>
        <v>0.12820512820512819</v>
      </c>
      <c r="V2" s="16" t="s">
        <v>0</v>
      </c>
      <c r="W2" s="16" t="s">
        <v>1</v>
      </c>
      <c r="X2" s="16" t="s">
        <v>2</v>
      </c>
      <c r="Y2" s="7"/>
      <c r="Z2" s="7"/>
      <c r="AA2" s="7"/>
      <c r="AB2" s="96" t="s">
        <v>218</v>
      </c>
    </row>
    <row r="3" spans="1:28" ht="30" customHeight="1" x14ac:dyDescent="0.25">
      <c r="A3" s="118" t="s">
        <v>204</v>
      </c>
      <c r="B3" s="15" t="s">
        <v>94</v>
      </c>
      <c r="D3" s="7">
        <v>78</v>
      </c>
      <c r="E3" s="7">
        <v>78</v>
      </c>
      <c r="F3" s="7">
        <v>78</v>
      </c>
      <c r="G3" s="7">
        <v>62</v>
      </c>
      <c r="H3" s="7">
        <v>88</v>
      </c>
      <c r="I3" s="7">
        <v>67</v>
      </c>
      <c r="J3" s="7">
        <v>95</v>
      </c>
      <c r="K3" s="99" t="s">
        <v>19</v>
      </c>
      <c r="L3" s="36">
        <f>(G3-$D$3)/$D$3</f>
        <v>-0.20512820512820512</v>
      </c>
      <c r="M3" s="36">
        <f>(H3-$D$3)/$D$3</f>
        <v>0.12820512820512819</v>
      </c>
      <c r="N3" s="8">
        <f>(0.002137*E2)-4.521368</f>
        <v>-0.18325799999999948</v>
      </c>
      <c r="O3" s="8">
        <f>(0.002991*E2)-5.91453</f>
        <v>0.15720000000000045</v>
      </c>
      <c r="P3" s="36">
        <f>(I3-$F$3)/$F$3</f>
        <v>-0.14102564102564102</v>
      </c>
      <c r="Q3" s="36">
        <f>(J3-$F$3)/$F$3</f>
        <v>0.21794871794871795</v>
      </c>
      <c r="R3" s="7"/>
      <c r="S3" s="16">
        <v>2050</v>
      </c>
      <c r="T3" s="8">
        <f>P3</f>
        <v>-0.14102564102564102</v>
      </c>
      <c r="U3" s="8">
        <f>Q3</f>
        <v>0.21794871794871795</v>
      </c>
      <c r="V3" s="16">
        <v>2020</v>
      </c>
      <c r="W3" s="8">
        <f>L4</f>
        <v>-0.7</v>
      </c>
      <c r="X3" s="8">
        <f>M4</f>
        <v>0.15</v>
      </c>
      <c r="Y3" s="16" t="s">
        <v>0</v>
      </c>
      <c r="Z3" s="16" t="s">
        <v>1</v>
      </c>
      <c r="AA3" s="16" t="s">
        <v>2</v>
      </c>
      <c r="AB3" s="97"/>
    </row>
    <row r="4" spans="1:28" ht="30" customHeight="1" x14ac:dyDescent="0.25">
      <c r="A4" s="118" t="s">
        <v>147</v>
      </c>
      <c r="B4" s="15" t="s">
        <v>100</v>
      </c>
      <c r="D4" s="7">
        <v>20</v>
      </c>
      <c r="E4" s="7">
        <v>20</v>
      </c>
      <c r="F4" s="7">
        <v>20</v>
      </c>
      <c r="G4" s="7">
        <v>6</v>
      </c>
      <c r="H4" s="7">
        <v>23</v>
      </c>
      <c r="I4" s="7">
        <v>8</v>
      </c>
      <c r="J4" s="7">
        <v>32</v>
      </c>
      <c r="K4" s="99"/>
      <c r="L4" s="36">
        <f>(G4-$D$4)/$D$4</f>
        <v>-0.7</v>
      </c>
      <c r="M4" s="36">
        <f>(H4-$D$4)/$D$4</f>
        <v>0.15</v>
      </c>
      <c r="N4" s="8">
        <f>(0.003333*E2)-7.433333</f>
        <v>-0.6673429999999998</v>
      </c>
      <c r="O4" s="8">
        <f>(0.015*E2)-30.15</f>
        <v>0.30000000000000071</v>
      </c>
      <c r="P4" s="36">
        <f>(I4-$F$4)/$F$4</f>
        <v>-0.6</v>
      </c>
      <c r="Q4" s="36">
        <f>(J4-$F$4)/$F$4</f>
        <v>0.6</v>
      </c>
      <c r="R4" s="7"/>
      <c r="S4" s="16"/>
      <c r="T4" s="16"/>
      <c r="U4" s="16"/>
      <c r="V4" s="16">
        <v>2050</v>
      </c>
      <c r="W4" s="8">
        <f>P4</f>
        <v>-0.6</v>
      </c>
      <c r="X4" s="8">
        <f>Q4</f>
        <v>0.6</v>
      </c>
      <c r="Y4" s="16">
        <v>2020</v>
      </c>
      <c r="Z4" s="8">
        <f>L5</f>
        <v>-0.20000000000000004</v>
      </c>
      <c r="AA4" s="8">
        <f>M5</f>
        <v>0.79999999999999982</v>
      </c>
      <c r="AB4" s="97"/>
    </row>
    <row r="5" spans="1:28" ht="30" customHeight="1" x14ac:dyDescent="0.25">
      <c r="A5" s="113" t="s">
        <v>182</v>
      </c>
      <c r="B5" s="15" t="s">
        <v>110</v>
      </c>
      <c r="D5" s="7">
        <v>0.05</v>
      </c>
      <c r="E5" s="7">
        <v>0.03</v>
      </c>
      <c r="F5" s="7">
        <v>0.03</v>
      </c>
      <c r="G5" s="7">
        <v>0.04</v>
      </c>
      <c r="H5" s="7">
        <v>0.09</v>
      </c>
      <c r="I5" s="7">
        <v>0.02</v>
      </c>
      <c r="J5" s="7">
        <v>0.05</v>
      </c>
      <c r="K5" s="99"/>
      <c r="L5" s="36">
        <f>(G5-$D$5)/$D$5</f>
        <v>-0.20000000000000004</v>
      </c>
      <c r="M5" s="36">
        <f>(H5-$D$5)/$D$5</f>
        <v>0.79999999999999982</v>
      </c>
      <c r="N5" s="8">
        <f>(-0.004444*E2)+8.777778</f>
        <v>-0.2435419999999997</v>
      </c>
      <c r="O5" s="8">
        <f>(-0.004444*E2)+9.777778</f>
        <v>0.7564580000000003</v>
      </c>
      <c r="P5" s="36">
        <f>(I5-$F$5)/$F$5</f>
        <v>-0.33333333333333331</v>
      </c>
      <c r="Q5" s="36">
        <f>(J5-$F$5)/$F$5</f>
        <v>0.66666666666666685</v>
      </c>
      <c r="R5" s="7"/>
      <c r="S5" s="16"/>
      <c r="T5" s="8"/>
      <c r="U5" s="8"/>
      <c r="V5" s="7"/>
      <c r="W5" s="7"/>
      <c r="X5" s="7"/>
      <c r="Y5" s="16">
        <v>2050</v>
      </c>
      <c r="Z5" s="8">
        <f>P5</f>
        <v>-0.33333333333333331</v>
      </c>
      <c r="AA5" s="8">
        <f>Q5</f>
        <v>0.66666666666666685</v>
      </c>
      <c r="AB5" s="97"/>
    </row>
    <row r="6" spans="1:28" ht="30" customHeight="1" x14ac:dyDescent="0.25">
      <c r="A6" s="118" t="s">
        <v>230</v>
      </c>
      <c r="B6" s="15" t="s">
        <v>111</v>
      </c>
      <c r="D6" s="7">
        <f>VRF!D27</f>
        <v>9.4350000000000005</v>
      </c>
      <c r="E6" s="7">
        <f>VRF!E27</f>
        <v>4.1278125000000001</v>
      </c>
      <c r="F6" s="7">
        <f>VRF!F27</f>
        <v>3.8919375000000005</v>
      </c>
      <c r="G6" s="7">
        <f>VRF!G27</f>
        <v>3.774</v>
      </c>
      <c r="H6" s="7">
        <f>VRF!H27</f>
        <v>19.203000000000003</v>
      </c>
      <c r="I6" s="7"/>
      <c r="J6" s="7"/>
      <c r="K6" s="99"/>
      <c r="L6" s="36">
        <f>(G6-$D$6)/$D$6</f>
        <v>-0.6</v>
      </c>
      <c r="M6" s="36">
        <f>(H6-$D$6)/$D$6</f>
        <v>1.0352941176470589</v>
      </c>
      <c r="N6" s="8">
        <f>L6</f>
        <v>-0.6</v>
      </c>
      <c r="O6" s="8">
        <f>M6</f>
        <v>1.0352941176470589</v>
      </c>
      <c r="P6" s="36"/>
      <c r="Q6" s="36"/>
      <c r="R6" s="7"/>
      <c r="S6" s="16"/>
      <c r="T6" s="8"/>
      <c r="U6" s="8"/>
      <c r="V6" s="7"/>
      <c r="W6" s="7"/>
      <c r="X6" s="7"/>
      <c r="Y6" s="7"/>
      <c r="Z6" s="7"/>
      <c r="AA6" s="7"/>
      <c r="AB6" s="98"/>
    </row>
    <row r="7" spans="1:28" ht="30" customHeight="1" x14ac:dyDescent="0.25">
      <c r="A7" s="119"/>
      <c r="B7" s="37"/>
    </row>
    <row r="8" spans="1:28" ht="30" customHeight="1" x14ac:dyDescent="0.25">
      <c r="A8" s="77"/>
      <c r="B8" s="37"/>
    </row>
    <row r="9" spans="1:28" ht="30" customHeight="1" x14ac:dyDescent="0.25">
      <c r="A9" s="78"/>
      <c r="B9" s="38"/>
      <c r="D9" s="120" t="s">
        <v>85</v>
      </c>
      <c r="E9" s="120"/>
      <c r="F9" s="120"/>
      <c r="G9" s="120"/>
      <c r="H9" s="120"/>
      <c r="I9" s="120"/>
      <c r="J9" s="120"/>
      <c r="K9" s="120"/>
      <c r="L9" s="120"/>
      <c r="M9" s="39"/>
      <c r="N9" s="39"/>
      <c r="O9" s="39"/>
      <c r="P9" s="40"/>
      <c r="Q9" s="40"/>
    </row>
    <row r="10" spans="1:28" ht="30" customHeight="1" x14ac:dyDescent="0.25">
      <c r="A10" s="118" t="s">
        <v>140</v>
      </c>
      <c r="B10" s="15" t="s">
        <v>112</v>
      </c>
      <c r="D10" s="115" t="s">
        <v>248</v>
      </c>
      <c r="E10" s="115"/>
      <c r="F10" s="115"/>
      <c r="G10" s="115"/>
      <c r="H10" s="115"/>
      <c r="I10" s="115"/>
      <c r="J10" s="115"/>
      <c r="K10" s="115"/>
      <c r="L10" s="115"/>
      <c r="M10" s="41"/>
      <c r="N10" s="41"/>
      <c r="O10" s="41"/>
      <c r="P10" s="42"/>
      <c r="Q10" s="43"/>
    </row>
    <row r="11" spans="1:28" ht="30" customHeight="1" x14ac:dyDescent="0.25">
      <c r="A11" s="118" t="s">
        <v>141</v>
      </c>
      <c r="B11" s="15" t="s">
        <v>113</v>
      </c>
      <c r="D11" s="115"/>
      <c r="E11" s="115"/>
      <c r="F11" s="115"/>
      <c r="G11" s="115"/>
      <c r="H11" s="115"/>
      <c r="I11" s="115"/>
      <c r="J11" s="115"/>
      <c r="K11" s="115"/>
      <c r="L11" s="115"/>
      <c r="M11" s="41"/>
      <c r="N11" s="41"/>
      <c r="O11" s="41"/>
      <c r="P11" s="42"/>
      <c r="Q11" s="43"/>
    </row>
    <row r="12" spans="1:28" ht="30" customHeight="1" x14ac:dyDescent="0.25">
      <c r="A12" s="118" t="s">
        <v>233</v>
      </c>
      <c r="B12" s="15" t="s">
        <v>114</v>
      </c>
      <c r="D12" s="115"/>
      <c r="E12" s="115"/>
      <c r="F12" s="115"/>
      <c r="G12" s="115"/>
      <c r="H12" s="115"/>
      <c r="I12" s="115"/>
      <c r="J12" s="115"/>
      <c r="K12" s="115"/>
      <c r="L12" s="115"/>
      <c r="M12" s="41"/>
      <c r="N12" s="41"/>
      <c r="O12" s="41"/>
      <c r="P12" s="42"/>
      <c r="Q12" s="43"/>
    </row>
    <row r="13" spans="1:28" ht="30" customHeight="1" x14ac:dyDescent="0.25">
      <c r="A13" s="118" t="s">
        <v>142</v>
      </c>
      <c r="B13" s="15" t="s">
        <v>129</v>
      </c>
      <c r="D13" s="115" t="s">
        <v>249</v>
      </c>
      <c r="E13" s="115"/>
      <c r="F13" s="115"/>
      <c r="G13" s="115"/>
      <c r="H13" s="115"/>
      <c r="I13" s="115"/>
      <c r="J13" s="115"/>
      <c r="K13" s="115"/>
      <c r="L13" s="115"/>
      <c r="M13" s="41"/>
      <c r="N13" s="41"/>
      <c r="O13" s="41"/>
      <c r="P13" s="42"/>
      <c r="Q13" s="43"/>
    </row>
    <row r="14" spans="1:28" ht="30" customHeight="1" x14ac:dyDescent="0.25">
      <c r="A14" s="118" t="s">
        <v>143</v>
      </c>
      <c r="B14" s="44" t="s">
        <v>130</v>
      </c>
      <c r="D14" s="115"/>
      <c r="E14" s="115"/>
      <c r="F14" s="115"/>
      <c r="G14" s="115"/>
      <c r="H14" s="115"/>
      <c r="I14" s="115"/>
      <c r="J14" s="115"/>
      <c r="K14" s="115"/>
      <c r="L14" s="115"/>
      <c r="M14" s="41"/>
      <c r="N14" s="41"/>
      <c r="O14" s="41"/>
      <c r="P14" s="42"/>
      <c r="Q14" s="43"/>
    </row>
    <row r="15" spans="1:28" ht="69.75" customHeight="1" x14ac:dyDescent="0.25">
      <c r="A15" s="118" t="s">
        <v>205</v>
      </c>
      <c r="B15" s="15" t="s">
        <v>115</v>
      </c>
      <c r="D15" s="121" t="s">
        <v>250</v>
      </c>
      <c r="E15" s="122"/>
      <c r="F15" s="122"/>
      <c r="G15" s="122"/>
      <c r="H15" s="122"/>
      <c r="I15" s="122"/>
      <c r="J15" s="122"/>
      <c r="K15" s="122"/>
      <c r="L15" s="123"/>
      <c r="M15" s="41"/>
      <c r="N15" s="41"/>
      <c r="O15" s="41"/>
      <c r="P15" s="42"/>
      <c r="Q15" s="43"/>
    </row>
    <row r="16" spans="1:28" ht="24.95" customHeight="1" x14ac:dyDescent="0.25">
      <c r="A16" s="118" t="s">
        <v>145</v>
      </c>
      <c r="B16" s="15" t="s">
        <v>116</v>
      </c>
      <c r="D16" s="124" t="s">
        <v>219</v>
      </c>
      <c r="E16" s="125"/>
      <c r="F16" s="125"/>
      <c r="G16" s="125"/>
      <c r="H16" s="125"/>
      <c r="I16" s="125"/>
      <c r="J16" s="125"/>
      <c r="K16" s="125"/>
      <c r="L16" s="126"/>
      <c r="M16" s="41"/>
      <c r="N16" s="45"/>
      <c r="O16" s="45"/>
      <c r="P16" s="42"/>
      <c r="Q16" s="43"/>
    </row>
    <row r="17" spans="1:17" ht="24.95" customHeight="1" x14ac:dyDescent="0.25">
      <c r="A17" s="118" t="s">
        <v>211</v>
      </c>
      <c r="B17" s="15" t="s">
        <v>211</v>
      </c>
      <c r="D17" s="127"/>
      <c r="E17" s="128"/>
      <c r="F17" s="128"/>
      <c r="G17" s="128"/>
      <c r="H17" s="128"/>
      <c r="I17" s="128"/>
      <c r="J17" s="128"/>
      <c r="K17" s="128"/>
      <c r="L17" s="129"/>
      <c r="M17" s="45"/>
      <c r="N17" s="45"/>
      <c r="O17" s="45"/>
      <c r="P17" s="42"/>
      <c r="Q17" s="43"/>
    </row>
    <row r="18" spans="1:17" ht="24.95" customHeight="1" x14ac:dyDescent="0.25">
      <c r="A18" s="118" t="s">
        <v>148</v>
      </c>
      <c r="B18" s="15" t="s">
        <v>117</v>
      </c>
      <c r="D18" s="127"/>
      <c r="E18" s="128"/>
      <c r="F18" s="128"/>
      <c r="G18" s="128"/>
      <c r="H18" s="128"/>
      <c r="I18" s="128"/>
      <c r="J18" s="128"/>
      <c r="K18" s="128"/>
      <c r="L18" s="129"/>
      <c r="M18" s="45"/>
      <c r="N18" s="45"/>
      <c r="O18" s="45"/>
      <c r="P18" s="42"/>
      <c r="Q18" s="43"/>
    </row>
    <row r="19" spans="1:17" ht="24.95" customHeight="1" x14ac:dyDescent="0.25">
      <c r="A19" s="118" t="s">
        <v>210</v>
      </c>
      <c r="B19" s="15" t="s">
        <v>118</v>
      </c>
      <c r="D19" s="127"/>
      <c r="E19" s="128"/>
      <c r="F19" s="128"/>
      <c r="G19" s="128"/>
      <c r="H19" s="128"/>
      <c r="I19" s="128"/>
      <c r="J19" s="128"/>
      <c r="K19" s="128"/>
      <c r="L19" s="129"/>
      <c r="M19" s="45"/>
      <c r="N19" s="45"/>
      <c r="O19" s="45"/>
      <c r="P19" s="42"/>
      <c r="Q19" s="43"/>
    </row>
    <row r="20" spans="1:17" ht="24.95" customHeight="1" x14ac:dyDescent="0.25">
      <c r="A20" s="118" t="s">
        <v>181</v>
      </c>
      <c r="B20" s="15" t="s">
        <v>119</v>
      </c>
      <c r="D20" s="130"/>
      <c r="E20" s="131"/>
      <c r="F20" s="131"/>
      <c r="G20" s="131"/>
      <c r="H20" s="131"/>
      <c r="I20" s="131"/>
      <c r="J20" s="131"/>
      <c r="K20" s="131"/>
      <c r="L20" s="132"/>
      <c r="M20" s="45"/>
      <c r="N20" s="45"/>
      <c r="O20" s="45"/>
      <c r="P20" s="42"/>
      <c r="Q20" s="43"/>
    </row>
    <row r="21" spans="1:17" ht="50.1" customHeight="1" x14ac:dyDescent="0.25">
      <c r="A21" s="118" t="s">
        <v>224</v>
      </c>
      <c r="B21" s="15" t="s">
        <v>120</v>
      </c>
      <c r="D21" s="115" t="s">
        <v>251</v>
      </c>
      <c r="E21" s="115"/>
      <c r="F21" s="115"/>
      <c r="G21" s="115"/>
      <c r="H21" s="115"/>
      <c r="I21" s="115"/>
      <c r="J21" s="115"/>
      <c r="K21" s="115"/>
      <c r="L21" s="115"/>
      <c r="M21" s="41"/>
      <c r="N21" s="41"/>
      <c r="O21" s="41"/>
      <c r="P21" s="42"/>
      <c r="Q21" s="43"/>
    </row>
    <row r="22" spans="1:17" ht="35.1" customHeight="1" x14ac:dyDescent="0.25">
      <c r="A22" s="118" t="s">
        <v>209</v>
      </c>
      <c r="B22" s="15" t="s">
        <v>121</v>
      </c>
      <c r="D22" s="115" t="s">
        <v>252</v>
      </c>
      <c r="E22" s="115"/>
      <c r="F22" s="115"/>
      <c r="G22" s="115"/>
      <c r="H22" s="115"/>
      <c r="I22" s="115"/>
      <c r="J22" s="115"/>
      <c r="K22" s="115"/>
      <c r="L22" s="115"/>
      <c r="M22" s="41"/>
      <c r="N22" s="41"/>
      <c r="O22" s="41"/>
      <c r="P22" s="42"/>
      <c r="Q22" s="43"/>
    </row>
    <row r="23" spans="1:17" ht="35.1" customHeight="1" x14ac:dyDescent="0.25">
      <c r="A23" s="118" t="s">
        <v>231</v>
      </c>
      <c r="B23" s="15" t="s">
        <v>122</v>
      </c>
      <c r="D23" s="115"/>
      <c r="E23" s="115"/>
      <c r="F23" s="115"/>
      <c r="G23" s="115"/>
      <c r="H23" s="115"/>
      <c r="I23" s="115"/>
      <c r="J23" s="115"/>
      <c r="K23" s="115"/>
      <c r="L23" s="115"/>
      <c r="M23" s="41"/>
      <c r="N23" s="41"/>
      <c r="O23" s="41"/>
      <c r="P23" s="42"/>
      <c r="Q23" s="43"/>
    </row>
    <row r="24" spans="1:17" ht="40.5" customHeight="1" x14ac:dyDescent="0.25">
      <c r="A24" s="113" t="s">
        <v>232</v>
      </c>
      <c r="B24" s="15" t="s">
        <v>123</v>
      </c>
      <c r="D24" s="115" t="s">
        <v>220</v>
      </c>
      <c r="E24" s="115"/>
      <c r="F24" s="115"/>
      <c r="G24" s="115"/>
      <c r="H24" s="115"/>
      <c r="I24" s="115"/>
      <c r="J24" s="115"/>
      <c r="K24" s="115"/>
      <c r="L24" s="115"/>
      <c r="M24" s="41"/>
      <c r="N24" s="41"/>
      <c r="O24" s="41"/>
      <c r="P24" s="42"/>
      <c r="Q24" s="43"/>
    </row>
    <row r="25" spans="1:17" ht="69.75" customHeight="1" x14ac:dyDescent="0.25">
      <c r="A25" s="113" t="s">
        <v>208</v>
      </c>
      <c r="B25" s="15" t="s">
        <v>124</v>
      </c>
      <c r="D25" s="115" t="s">
        <v>245</v>
      </c>
      <c r="E25" s="115"/>
      <c r="F25" s="115"/>
      <c r="G25" s="115"/>
      <c r="H25" s="115"/>
      <c r="I25" s="115"/>
      <c r="J25" s="115"/>
      <c r="K25" s="115"/>
      <c r="L25" s="115"/>
      <c r="M25" s="41"/>
      <c r="N25" s="41"/>
      <c r="O25" s="41"/>
      <c r="P25" s="42"/>
      <c r="Q25" s="43"/>
    </row>
    <row r="26" spans="1:17" ht="60" customHeight="1" x14ac:dyDescent="0.25">
      <c r="A26" s="113" t="s">
        <v>186</v>
      </c>
      <c r="B26" s="15" t="s">
        <v>41</v>
      </c>
      <c r="D26" s="115" t="s">
        <v>253</v>
      </c>
      <c r="E26" s="133"/>
      <c r="F26" s="133"/>
      <c r="G26" s="133"/>
      <c r="H26" s="133"/>
      <c r="I26" s="133"/>
      <c r="J26" s="133"/>
      <c r="K26" s="133"/>
      <c r="L26" s="133"/>
      <c r="M26" s="41"/>
      <c r="N26" s="41"/>
      <c r="O26" s="41"/>
      <c r="P26" s="42"/>
      <c r="Q26" s="43"/>
    </row>
    <row r="27" spans="1:17" ht="60" customHeight="1" x14ac:dyDescent="0.25">
      <c r="A27" s="112" t="s">
        <v>187</v>
      </c>
      <c r="B27" s="15" t="s">
        <v>125</v>
      </c>
      <c r="D27" s="121" t="s">
        <v>254</v>
      </c>
      <c r="E27" s="122"/>
      <c r="F27" s="122"/>
      <c r="G27" s="122"/>
      <c r="H27" s="122"/>
      <c r="I27" s="122"/>
      <c r="J27" s="122"/>
      <c r="K27" s="122"/>
      <c r="L27" s="123"/>
      <c r="M27" s="41"/>
      <c r="N27" s="41"/>
      <c r="O27" s="41"/>
      <c r="P27" s="42"/>
      <c r="Q27" s="43"/>
    </row>
    <row r="28" spans="1:17" ht="60" customHeight="1" x14ac:dyDescent="0.25">
      <c r="A28" s="113" t="s">
        <v>207</v>
      </c>
      <c r="B28" s="15" t="s">
        <v>126</v>
      </c>
      <c r="D28" s="121" t="s">
        <v>247</v>
      </c>
      <c r="E28" s="122"/>
      <c r="F28" s="122"/>
      <c r="G28" s="122"/>
      <c r="H28" s="122"/>
      <c r="I28" s="122"/>
      <c r="J28" s="122"/>
      <c r="K28" s="122"/>
      <c r="L28" s="123"/>
      <c r="M28" s="41"/>
      <c r="N28" s="41"/>
      <c r="O28" s="41"/>
      <c r="P28" s="42"/>
      <c r="Q28" s="43"/>
    </row>
    <row r="29" spans="1:17" ht="30" customHeight="1" x14ac:dyDescent="0.25">
      <c r="A29" s="113" t="s">
        <v>189</v>
      </c>
      <c r="B29" s="15" t="s">
        <v>127</v>
      </c>
      <c r="D29" s="124" t="s">
        <v>219</v>
      </c>
      <c r="E29" s="125"/>
      <c r="F29" s="125"/>
      <c r="G29" s="125"/>
      <c r="H29" s="125"/>
      <c r="I29" s="125"/>
      <c r="J29" s="125"/>
      <c r="K29" s="125"/>
      <c r="L29" s="126"/>
      <c r="M29" s="41"/>
      <c r="N29" s="41"/>
      <c r="O29" s="41"/>
      <c r="P29" s="42"/>
      <c r="Q29" s="43"/>
    </row>
    <row r="30" spans="1:17" ht="30" customHeight="1" x14ac:dyDescent="0.25">
      <c r="A30" s="113" t="s">
        <v>206</v>
      </c>
      <c r="B30" s="15" t="s">
        <v>128</v>
      </c>
      <c r="D30" s="130"/>
      <c r="E30" s="131"/>
      <c r="F30" s="131"/>
      <c r="G30" s="131"/>
      <c r="H30" s="131"/>
      <c r="I30" s="131"/>
      <c r="J30" s="131"/>
      <c r="K30" s="131"/>
      <c r="L30" s="132"/>
      <c r="M30" s="41"/>
      <c r="N30" s="41"/>
      <c r="O30" s="41"/>
      <c r="P30" s="42"/>
      <c r="Q30" s="43"/>
    </row>
  </sheetData>
  <mergeCells count="20">
    <mergeCell ref="D27:L27"/>
    <mergeCell ref="D28:L28"/>
    <mergeCell ref="D29:L30"/>
    <mergeCell ref="AB2:AB6"/>
    <mergeCell ref="D26:L26"/>
    <mergeCell ref="D24:L24"/>
    <mergeCell ref="D25:L25"/>
    <mergeCell ref="D16:L20"/>
    <mergeCell ref="D21:L21"/>
    <mergeCell ref="D22:L23"/>
    <mergeCell ref="K3:K6"/>
    <mergeCell ref="D9:L9"/>
    <mergeCell ref="D10:L12"/>
    <mergeCell ref="D13:L14"/>
    <mergeCell ref="D15:L15"/>
    <mergeCell ref="G1:H1"/>
    <mergeCell ref="I1:J1"/>
    <mergeCell ref="L1:M1"/>
    <mergeCell ref="N1:O1"/>
    <mergeCell ref="P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8</vt:i4>
      </vt:variant>
    </vt:vector>
  </HeadingPairs>
  <TitlesOfParts>
    <vt:vector size="11" baseType="lpstr">
      <vt:lpstr>VRF</vt:lpstr>
      <vt:lpstr>Data</vt:lpstr>
      <vt:lpstr>Uncertanties</vt:lpstr>
      <vt:lpstr>03URT_L</vt:lpstr>
      <vt:lpstr>03URT_U</vt:lpstr>
      <vt:lpstr>04UTL_L</vt:lpstr>
      <vt:lpstr>04ULT_U</vt:lpstr>
      <vt:lpstr>05UOP_L</vt:lpstr>
      <vt:lpstr>05UOP_U</vt:lpstr>
      <vt:lpstr>17_EC</vt:lpstr>
      <vt:lpstr>18_CC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Roberto Ulises Ruiz Saucedo</cp:lastModifiedBy>
  <cp:revision/>
  <dcterms:created xsi:type="dcterms:W3CDTF">2020-01-17T03:10:03Z</dcterms:created>
  <dcterms:modified xsi:type="dcterms:W3CDTF">2020-10-12T23:14:20Z</dcterms:modified>
</cp:coreProperties>
</file>