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03-PROY ALM ENE\04-INFORMES\R-D2\Tablas V11\"/>
    </mc:Choice>
  </mc:AlternateContent>
  <xr:revisionPtr revIDLastSave="0" documentId="13_ncr:1_{BDEE2BFC-283E-42BA-8279-9EFDF7680D76}" xr6:coauthVersionLast="45" xr6:coauthVersionMax="45" xr10:uidLastSave="{00000000-0000-0000-0000-000000000000}"/>
  <bookViews>
    <workbookView xWindow="-120" yWindow="-120" windowWidth="29040" windowHeight="15840" xr2:uid="{00000000-000D-0000-FFFF-FFFF00000000}"/>
  </bookViews>
  <sheets>
    <sheet name="Flywheels" sheetId="4" r:id="rId1"/>
    <sheet name="Data" sheetId="1" r:id="rId2"/>
    <sheet name="Uncertanties" sheetId="15" r:id="rId3"/>
    <sheet name="USE_L" sheetId="16" r:id="rId4"/>
    <sheet name="05_RTE" sheetId="5" r:id="rId5"/>
    <sheet name="08_ELS" sheetId="13" r:id="rId6"/>
    <sheet name="11_TL" sheetId="7" r:id="rId7"/>
    <sheet name="16_EC" sheetId="10" r:id="rId8"/>
    <sheet name="17_CC" sheetId="11" r:id="rId9"/>
    <sheet name="23_LTN" sheetId="8" r:id="rId10"/>
  </sheets>
  <externalReferences>
    <externalReference r:id="rId11"/>
    <externalReference r:id="rId12"/>
    <externalReference r:id="rId13"/>
  </externalReferences>
  <definedNames>
    <definedName name="BTV11_15">'[1]arbejds ark LARGE New'!$K$33</definedName>
    <definedName name="BVT17_15">'[1]arbejds ark LARGE New'!$S$67</definedName>
    <definedName name="EUR16tilEUR15">'[1]22 Photovoltaics  LARGE Old'!$N$2</definedName>
    <definedName name="Index">#REF!</definedName>
    <definedName name="Sheet">#REF!</definedName>
    <definedName name="Start10" localSheetId="0">'[2]Li-Ion Battery'!#REF!</definedName>
    <definedName name="Start10">'[3]03 Lithium Ion Battery'!#REF!</definedName>
    <definedName name="Start11" localSheetId="0">#REF!</definedName>
    <definedName name="Start12" localSheetId="0">'[2]Molten Salt'!#REF!</definedName>
    <definedName name="Start13" localSheetId="0">#REF!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5">#REF!</definedName>
    <definedName name="Start6">#REF!</definedName>
    <definedName name="Start7" localSheetId="0">#REF!</definedName>
    <definedName name="Start7">#REF!</definedName>
    <definedName name="Start8" localSheetId="0">[2]CAES!#REF!</definedName>
    <definedName name="Start9" localSheetId="0">Flywheels!#REF!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 l="1"/>
  <c r="F6" i="1" l="1"/>
  <c r="F7" i="1" s="1"/>
  <c r="E6" i="1"/>
  <c r="E7" i="1" s="1"/>
  <c r="D6" i="1"/>
  <c r="D7" i="1" s="1"/>
  <c r="C6" i="1"/>
  <c r="C7" i="1" s="1"/>
  <c r="D12" i="4"/>
  <c r="D13" i="4" s="1"/>
  <c r="C12" i="4"/>
  <c r="C13" i="4" s="1"/>
  <c r="I26" i="4" l="1"/>
  <c r="H26" i="4"/>
  <c r="G26" i="4"/>
  <c r="F26" i="4"/>
  <c r="P4" i="15" l="1"/>
  <c r="O4" i="15"/>
  <c r="L4" i="15"/>
  <c r="G32" i="4" s="1"/>
  <c r="K4" i="15"/>
  <c r="F32" i="4" s="1"/>
  <c r="N3" i="15"/>
  <c r="I33" i="4" s="1"/>
  <c r="M3" i="15"/>
  <c r="H33" i="4" s="1"/>
  <c r="P3" i="15"/>
  <c r="T3" i="15" s="1"/>
  <c r="O3" i="15"/>
  <c r="S3" i="15" s="1"/>
  <c r="L3" i="15"/>
  <c r="G33" i="4" s="1"/>
  <c r="K3" i="15"/>
  <c r="F33" i="4" s="1"/>
  <c r="M4" i="15" l="1"/>
  <c r="H32" i="4" s="1"/>
  <c r="T2" i="15"/>
  <c r="N4" i="15"/>
  <c r="I32" i="4" s="1"/>
  <c r="F31" i="4"/>
  <c r="H31" i="4"/>
  <c r="I31" i="4"/>
  <c r="S2" i="15"/>
  <c r="F34" i="4"/>
  <c r="H34" i="4" s="1"/>
  <c r="G31" i="4"/>
  <c r="G34" i="4"/>
  <c r="I34" i="4" s="1"/>
  <c r="G20" i="1"/>
  <c r="I27" i="4" l="1"/>
  <c r="H27" i="4"/>
  <c r="I12" i="4" l="1"/>
  <c r="I13" i="4" s="1"/>
  <c r="H12" i="4"/>
  <c r="H13" i="4" s="1"/>
  <c r="G12" i="4"/>
  <c r="G13" i="4" s="1"/>
  <c r="F12" i="4"/>
  <c r="F13" i="4" s="1"/>
  <c r="G8" i="1" l="1"/>
  <c r="E20" i="4" l="1"/>
  <c r="E18" i="4"/>
  <c r="D20" i="4"/>
  <c r="D18" i="4"/>
  <c r="E10" i="4"/>
  <c r="E9" i="4"/>
  <c r="E8" i="4"/>
  <c r="G17" i="1" l="1"/>
  <c r="E25" i="4" s="1"/>
  <c r="G16" i="1"/>
  <c r="E24" i="4" s="1"/>
  <c r="G15" i="1"/>
  <c r="E23" i="4" l="1"/>
  <c r="E29" i="4"/>
  <c r="G11" i="1"/>
  <c r="E17" i="4" s="1"/>
  <c r="E14" i="4"/>
  <c r="G5" i="1"/>
  <c r="E11" i="4" l="1"/>
  <c r="E12" i="4" s="1"/>
  <c r="E13" i="4" s="1"/>
  <c r="G6" i="1"/>
  <c r="G7" i="1" s="1"/>
  <c r="I10" i="4"/>
  <c r="H10" i="4"/>
  <c r="G10" i="4"/>
  <c r="F10" i="4"/>
  <c r="D10" i="4"/>
  <c r="C10" i="4"/>
  <c r="I25" i="4" l="1"/>
  <c r="H25" i="4"/>
  <c r="G25" i="4"/>
  <c r="F25" i="4"/>
  <c r="D25" i="4"/>
  <c r="C25" i="4"/>
  <c r="I24" i="4"/>
  <c r="H24" i="4"/>
  <c r="G24" i="4"/>
  <c r="F24" i="4"/>
  <c r="D24" i="4"/>
  <c r="C24" i="4"/>
  <c r="I9" i="4"/>
  <c r="H9" i="4"/>
  <c r="G9" i="4"/>
  <c r="F9" i="4"/>
  <c r="G8" i="4"/>
  <c r="F8" i="4"/>
  <c r="I8" i="4"/>
  <c r="H8" i="4"/>
  <c r="D9" i="4"/>
  <c r="D8" i="4"/>
  <c r="C9" i="4"/>
  <c r="C8" i="4"/>
  <c r="G29" i="4" l="1"/>
  <c r="H29" i="4"/>
  <c r="I29" i="4"/>
  <c r="C29" i="4"/>
  <c r="D20" i="1" s="1"/>
  <c r="D29" i="4"/>
  <c r="F20" i="1" s="1"/>
  <c r="F23" i="4"/>
  <c r="F29" i="4"/>
  <c r="G23" i="4"/>
  <c r="H23" i="4"/>
  <c r="I23" i="4"/>
  <c r="C23" i="4"/>
  <c r="D23" i="4"/>
</calcChain>
</file>

<file path=xl/sharedStrings.xml><?xml version="1.0" encoding="utf-8"?>
<sst xmlns="http://schemas.openxmlformats.org/spreadsheetml/2006/main" count="248" uniqueCount="173">
  <si>
    <t>Technology</t>
  </si>
  <si>
    <t>Flywheels</t>
  </si>
  <si>
    <t>Uncertainty (2020)</t>
  </si>
  <si>
    <t>Note</t>
  </si>
  <si>
    <t>Ref</t>
  </si>
  <si>
    <t>Energy/technical data</t>
  </si>
  <si>
    <t>Lower</t>
  </si>
  <si>
    <t>Upper</t>
  </si>
  <si>
    <t>Form of energy stored</t>
  </si>
  <si>
    <t>Application</t>
  </si>
  <si>
    <t>Energy storage capacity for one unit (MWh)</t>
  </si>
  <si>
    <t>[2]</t>
  </si>
  <si>
    <t>Output capacity for one unit (MW)*</t>
  </si>
  <si>
    <t>Input capacity for one unit (MW)*</t>
  </si>
  <si>
    <t>Round trip efficiency (%)</t>
  </si>
  <si>
    <t>[1]</t>
  </si>
  <si>
    <t xml:space="preserve"> - Discharge efficiency (%)</t>
  </si>
  <si>
    <t>Energy losses during storage (%/day)</t>
  </si>
  <si>
    <t>Forced outage (%)</t>
  </si>
  <si>
    <t>Planned outage (weeks per year)</t>
  </si>
  <si>
    <t>Technical lifetime (years)</t>
  </si>
  <si>
    <t>Construction time (years)</t>
  </si>
  <si>
    <t>Regulation ability</t>
  </si>
  <si>
    <t>Response time from idle to full-rated discharge (sec)</t>
  </si>
  <si>
    <t>Response time from full-rated charge to full-rated  discharge (sec)</t>
  </si>
  <si>
    <t>Financial data</t>
  </si>
  <si>
    <t xml:space="preserve">Technology specific data                                 </t>
  </si>
  <si>
    <t>Specific energy (Wh/kg)</t>
  </si>
  <si>
    <t>Lifetime in total number of cycles</t>
  </si>
  <si>
    <t>Specific power(W/kg)</t>
  </si>
  <si>
    <t>[3]</t>
  </si>
  <si>
    <t>[4]</t>
  </si>
  <si>
    <t>Notes</t>
  </si>
  <si>
    <t>References</t>
  </si>
  <si>
    <t>Luo, X., Wang, J., Dooner, M., &amp; Clarke, J. (2015). Overview of current development in electrical energy storage technologies and the application potential in power system operation. Applied Energy, 137, 511–536. https://doi.org/https://doi.org/10.1016/j.apenergy.2014.09.081</t>
  </si>
  <si>
    <t>IRENA. (2017). Electricity Storage and Renewables: Cost and Markets to 2030. Retrieved from https://www.irena.org/publications/2017/Oct/Electricity-storage-and-renewables-costs-and-markets</t>
  </si>
  <si>
    <t>IRENA (2017). Electricity storage and renewables: Costs and markets to 2030. Cost of service tool. Available in: https://www.irena.org/publications/2017/Oct/Electricity-storage-and-renewables-costs-and-markets</t>
  </si>
  <si>
    <t>Specific investment (MUSD2020/MW)</t>
  </si>
  <si>
    <t>This data is interpreted within the IRENA tool as: "Energy Installation cost"</t>
  </si>
  <si>
    <t>This data is interpreted within the IRENA tool as: "Power Installation cost"</t>
  </si>
  <si>
    <t>A</t>
  </si>
  <si>
    <t>Inferred as the square root of the round trip efficiency (supposing as charge and discharge efficiency should be equal).</t>
  </si>
  <si>
    <t>Schmidt, O., Melchior, S., Hawkes, A., &amp; Staffell, I. (2019). Projecting the Future Levelized Cost of Electricity Storage Technologies. Joule, 3(1), 81–100. https://doi.org/10.1016/j.joule.2018.12.008</t>
  </si>
  <si>
    <t>[5]</t>
  </si>
  <si>
    <t>Danish Energy Agency. (2019). Technology Data for Energy Storage. Copenhagen, Denmark. Retrieved from https://ens.dk/sites/ens.dk/files/Analyser/technology_data_catalogue_for_energy_storage.pdf</t>
  </si>
  <si>
    <t>IRENA has developed a tool to estimate costs for certain types of storage application.</t>
  </si>
  <si>
    <t>B</t>
  </si>
  <si>
    <t>A, C</t>
  </si>
  <si>
    <t>C</t>
  </si>
  <si>
    <t>This data is interpreted within the IRENA tool as: "Total Invest per usable kWh storage", and is verifiable as a result of : Energy Storage + Power Conversion/Usable Storage Capacity. SINCE THE DATA FOR ENERGY AND CAPACITY COMPONENT ARE AVAILABLE IS POSSIBLE DEDUCTEDTHE SPECIFIC INVESTMENT THEREFORE SOME ADJUST IS TAKE BY IRENA FOR SHOWING THE VALUE FOR "Invest per usable kWh (ENERGY) storage".</t>
  </si>
  <si>
    <t>A, D</t>
  </si>
  <si>
    <t>D</t>
  </si>
  <si>
    <t>A, E</t>
  </si>
  <si>
    <t>E</t>
  </si>
  <si>
    <t>F</t>
  </si>
  <si>
    <t>Technical Data</t>
  </si>
  <si>
    <t>Reference</t>
  </si>
  <si>
    <t>Lifetime in Total Number of Cycle</t>
  </si>
  <si>
    <t>Specific investment (MUSD2020 per MWh)</t>
  </si>
  <si>
    <t xml:space="preserve"> capacity component (MUSD2020 per MW)</t>
  </si>
  <si>
    <t>[6]</t>
  </si>
  <si>
    <t>Variable O&amp;M (USD2020/MWh/year)</t>
  </si>
  <si>
    <t>Frequency Containment Reserve</t>
  </si>
  <si>
    <t>Power density (kW/m3)</t>
  </si>
  <si>
    <t>Specific density (kWh/m3)</t>
  </si>
  <si>
    <t>Exchange ratio 2020</t>
  </si>
  <si>
    <t>Exchange ratio 2030</t>
  </si>
  <si>
    <t>Exchange ratio 2050</t>
  </si>
  <si>
    <t>Year</t>
  </si>
  <si>
    <t>Lower (%)</t>
  </si>
  <si>
    <t>Upper (%)</t>
  </si>
  <si>
    <t>2020 (Uncertainty)</t>
  </si>
  <si>
    <t>2050 (Uncertainty)</t>
  </si>
  <si>
    <t>Fixed O&amp;M (kUSD2020/MW/year)</t>
  </si>
  <si>
    <t>[3],[2]</t>
  </si>
  <si>
    <t>Ranges of uncertainty follow assumptions of market trends specified in [2], based on average values of [3]</t>
  </si>
  <si>
    <t>ABB</t>
  </si>
  <si>
    <t>ESC</t>
  </si>
  <si>
    <t>OCO</t>
  </si>
  <si>
    <t>ICO</t>
  </si>
  <si>
    <t>RTE</t>
  </si>
  <si>
    <t>CE</t>
  </si>
  <si>
    <t>DE</t>
  </si>
  <si>
    <t>ELS</t>
  </si>
  <si>
    <t>FO</t>
  </si>
  <si>
    <t>PO</t>
  </si>
  <si>
    <t>TL</t>
  </si>
  <si>
    <t>CT</t>
  </si>
  <si>
    <t>RTI</t>
  </si>
  <si>
    <t>RTF</t>
  </si>
  <si>
    <t>SI</t>
  </si>
  <si>
    <t>EC</t>
  </si>
  <si>
    <t>CC</t>
  </si>
  <si>
    <t>FOM</t>
  </si>
  <si>
    <t>VOM</t>
  </si>
  <si>
    <t>SE</t>
  </si>
  <si>
    <t>LTN</t>
  </si>
  <si>
    <t>NOTE</t>
  </si>
  <si>
    <t>1. This data was calculated with an equation (see Flywheel sheet)</t>
  </si>
  <si>
    <t>1. The uncertainty is not available for this parameters, therefore it was repeated the data of 2020 and 2030</t>
  </si>
  <si>
    <r>
      <t xml:space="preserve"> - </t>
    </r>
    <r>
      <rPr>
        <i/>
        <sz val="8"/>
        <color theme="1"/>
        <rFont val="Montserrat Medium"/>
        <family val="3"/>
      </rPr>
      <t>Charge efficiency (%)</t>
    </r>
  </si>
  <si>
    <r>
      <t xml:space="preserve">Zakeri, B., &amp; Syri, S. (2015). Electrical energy storage systems: A comparative life cycle cost analysis. </t>
    </r>
    <r>
      <rPr>
        <i/>
        <sz val="12"/>
        <color theme="1"/>
        <rFont val="Montserrat Medium"/>
        <family val="3"/>
      </rPr>
      <t>Renewable and Sustainable Energy Reviews</t>
    </r>
    <r>
      <rPr>
        <sz val="12"/>
        <color theme="1"/>
        <rFont val="Montserrat Medium"/>
        <family val="3"/>
      </rPr>
      <t xml:space="preserve">, </t>
    </r>
    <r>
      <rPr>
        <i/>
        <sz val="12"/>
        <color theme="1"/>
        <rFont val="Montserrat Medium"/>
        <family val="3"/>
      </rPr>
      <t>42</t>
    </r>
    <r>
      <rPr>
        <sz val="12"/>
        <color theme="1"/>
        <rFont val="Montserrat Medium"/>
        <family val="3"/>
      </rPr>
      <t>, 569–596. https://doi.org/10.1016/j.rser.2014.10.011</t>
    </r>
  </si>
  <si>
    <r>
      <t xml:space="preserve">Energy Storage Capacity for One Unit </t>
    </r>
    <r>
      <rPr>
        <sz val="8"/>
        <color theme="1"/>
        <rFont val="Montserrat Medium"/>
        <family val="3"/>
      </rPr>
      <t>(MWh)</t>
    </r>
  </si>
  <si>
    <r>
      <t xml:space="preserve">Output Capacity for One Unit </t>
    </r>
    <r>
      <rPr>
        <sz val="8"/>
        <color theme="1"/>
        <rFont val="Montserrat Medium"/>
        <family val="3"/>
      </rPr>
      <t>(MW)</t>
    </r>
  </si>
  <si>
    <r>
      <t>Input Capacity for One Unit</t>
    </r>
    <r>
      <rPr>
        <sz val="8"/>
        <color theme="1"/>
        <rFont val="Montserrat Medium"/>
        <family val="3"/>
      </rPr>
      <t xml:space="preserve"> (MW)</t>
    </r>
  </si>
  <si>
    <r>
      <t xml:space="preserve">Round Trip Efficiency </t>
    </r>
    <r>
      <rPr>
        <sz val="8"/>
        <color theme="1"/>
        <rFont val="Montserrat Medium"/>
        <family val="3"/>
      </rPr>
      <t>(%)</t>
    </r>
  </si>
  <si>
    <r>
      <t xml:space="preserve">Charge Efficiency </t>
    </r>
    <r>
      <rPr>
        <sz val="8"/>
        <color theme="1"/>
        <rFont val="Montserrat Medium"/>
        <family val="3"/>
      </rPr>
      <t>(%)</t>
    </r>
  </si>
  <si>
    <r>
      <t xml:space="preserve">Discharge Efficiency </t>
    </r>
    <r>
      <rPr>
        <sz val="8"/>
        <color theme="1"/>
        <rFont val="Montserrat Medium"/>
        <family val="3"/>
      </rPr>
      <t>(%)</t>
    </r>
  </si>
  <si>
    <r>
      <t xml:space="preserve">Energy Losses during Storage </t>
    </r>
    <r>
      <rPr>
        <sz val="8"/>
        <color theme="1"/>
        <rFont val="Montserrat Medium"/>
        <family val="3"/>
      </rPr>
      <t>(%/day)</t>
    </r>
  </si>
  <si>
    <r>
      <t xml:space="preserve">Forced Outage </t>
    </r>
    <r>
      <rPr>
        <sz val="8"/>
        <color theme="1"/>
        <rFont val="Montserrat Medium"/>
        <family val="3"/>
      </rPr>
      <t>(%)</t>
    </r>
  </si>
  <si>
    <r>
      <t xml:space="preserve">Planned Outage </t>
    </r>
    <r>
      <rPr>
        <sz val="8"/>
        <color theme="1"/>
        <rFont val="Montserrat Medium"/>
        <family val="3"/>
      </rPr>
      <t>(weeks per year)</t>
    </r>
  </si>
  <si>
    <r>
      <t xml:space="preserve">Technical Lifetime </t>
    </r>
    <r>
      <rPr>
        <sz val="8"/>
        <color theme="1"/>
        <rFont val="Montserrat Medium"/>
        <family val="3"/>
      </rPr>
      <t>(years)</t>
    </r>
  </si>
  <si>
    <r>
      <t xml:space="preserve">Construction Time </t>
    </r>
    <r>
      <rPr>
        <sz val="8"/>
        <color theme="1"/>
        <rFont val="Montserrat Medium"/>
        <family val="3"/>
      </rPr>
      <t>(years)</t>
    </r>
  </si>
  <si>
    <r>
      <t xml:space="preserve">Response Time from Idle to Full-Rated Discharge </t>
    </r>
    <r>
      <rPr>
        <sz val="8"/>
        <color theme="1"/>
        <rFont val="Montserrat Medium"/>
        <family val="3"/>
      </rPr>
      <t>(sec)</t>
    </r>
  </si>
  <si>
    <r>
      <t xml:space="preserve">Response Time from Full-Rated Charge to Full-Rated Discharge </t>
    </r>
    <r>
      <rPr>
        <sz val="8"/>
        <color theme="1"/>
        <rFont val="Montserrat Medium"/>
        <family val="3"/>
      </rPr>
      <t>(sec)</t>
    </r>
  </si>
  <si>
    <r>
      <t xml:space="preserve">Specific Investment </t>
    </r>
    <r>
      <rPr>
        <sz val="8"/>
        <color theme="1"/>
        <rFont val="Montserrat Medium"/>
        <family val="3"/>
      </rPr>
      <t>(MUSD2020 per MWh)</t>
    </r>
  </si>
  <si>
    <r>
      <t xml:space="preserve">Energy Component </t>
    </r>
    <r>
      <rPr>
        <sz val="8"/>
        <color theme="1"/>
        <rFont val="Montserrat Medium"/>
        <family val="3"/>
      </rPr>
      <t>(MUSD2020 per MWh)</t>
    </r>
  </si>
  <si>
    <r>
      <t xml:space="preserve">Capacity Component </t>
    </r>
    <r>
      <rPr>
        <sz val="8"/>
        <color theme="1"/>
        <rFont val="Montserrat Medium"/>
        <family val="3"/>
      </rPr>
      <t>(MUSD per MW)</t>
    </r>
  </si>
  <si>
    <r>
      <t xml:space="preserve">Fixed O&amp;M </t>
    </r>
    <r>
      <rPr>
        <sz val="8"/>
        <color theme="1"/>
        <rFont val="Montserrat Medium"/>
        <family val="3"/>
      </rPr>
      <t>(MUSD2020/MW/year)</t>
    </r>
  </si>
  <si>
    <r>
      <t xml:space="preserve">Variable O&amp;M </t>
    </r>
    <r>
      <rPr>
        <sz val="8"/>
        <color theme="1"/>
        <rFont val="Montserrat Medium"/>
        <family val="3"/>
      </rPr>
      <t>(MUSD2020/MW/year)</t>
    </r>
  </si>
  <si>
    <r>
      <t xml:space="preserve">Specific Investment </t>
    </r>
    <r>
      <rPr>
        <sz val="10"/>
        <color theme="1"/>
        <rFont val="Montserrat Medium"/>
        <family val="3"/>
      </rPr>
      <t>(MUSD2020 per MW)</t>
    </r>
  </si>
  <si>
    <r>
      <t>Specific Energy</t>
    </r>
    <r>
      <rPr>
        <sz val="10"/>
        <color theme="1"/>
        <rFont val="Montserrat Medium"/>
        <family val="3"/>
      </rPr>
      <t xml:space="preserve"> (Wh/kg)</t>
    </r>
  </si>
  <si>
    <r>
      <t>Specific Energy</t>
    </r>
    <r>
      <rPr>
        <sz val="10"/>
        <color theme="1"/>
        <rFont val="Montserrat Medium"/>
        <family val="3"/>
      </rPr>
      <t xml:space="preserve"> (Wh/l)</t>
    </r>
  </si>
  <si>
    <t>1. The trend of the data for these parameters (in this case constant) was identified in reference [1] for flywheels. 
2. This data is interpreted within the IRENA tool as "Usable Storage Capacity" and "Installed Storage. 
3. It is considered these parameters will not have a variation in the period 2020-2050 due it technological maturity.</t>
  </si>
  <si>
    <r>
      <t xml:space="preserve">Zakeri, B., &amp; Syri, S. (2015). Electrical energy storage systems: A comparative life cycle cost analysis. </t>
    </r>
    <r>
      <rPr>
        <i/>
        <sz val="10"/>
        <color theme="1"/>
        <rFont val="Montserrat Medium"/>
        <family val="3"/>
      </rPr>
      <t>Renewable and Sustainable Energy Reviews</t>
    </r>
    <r>
      <rPr>
        <sz val="10"/>
        <color theme="1"/>
        <rFont val="Montserrat Medium"/>
        <family val="3"/>
      </rPr>
      <t xml:space="preserve">, </t>
    </r>
    <r>
      <rPr>
        <i/>
        <sz val="10"/>
        <color theme="1"/>
        <rFont val="Montserrat Medium"/>
        <family val="3"/>
      </rPr>
      <t>42</t>
    </r>
    <r>
      <rPr>
        <sz val="10"/>
        <color theme="1"/>
        <rFont val="Montserrat Medium"/>
        <family val="3"/>
      </rPr>
      <t>, 569–596. https://doi.org/10.1016/j.rser.2014.10.011</t>
    </r>
  </si>
  <si>
    <t xml:space="preserve"> - Charge efficiency (%)</t>
  </si>
  <si>
    <t>Uncertainty (2030)</t>
  </si>
  <si>
    <t>There no available data</t>
  </si>
  <si>
    <t>1. The trend of the data for these parameters (in this case constant) was identified in reference [2] for flywheels. 
2. It is considered this parameters will not have a variation in the period 2020-2050 due it technological maturity.</t>
  </si>
  <si>
    <t>1. The trend of the data for these parameters (in this case constant) was identified in reference [4] for flywheels. 
2. It is considered these parameters will not have a variation in the period 2020-2050 due it technological maturity.</t>
  </si>
  <si>
    <r>
      <t xml:space="preserve">1. The trend of the data for these parameters (in this case exponential decrease) was identified in reference [1] for flywheels. 
2. This data is interpreted within the IRENA tool as "Self discharge". 
3. See exponential projection called </t>
    </r>
    <r>
      <rPr>
        <b/>
        <sz val="8"/>
        <color theme="1"/>
        <rFont val="Montserrat Medium"/>
        <family val="3"/>
      </rPr>
      <t>08_ELS</t>
    </r>
  </si>
  <si>
    <r>
      <t>1. The trend of the data for these parameters (in this case exponential decrease) was identified in reference [1] for flywheels.
2. This data is interpreted within the IRENA tool as "Energy installation cost" and "Power installation cost". 
3. See exponential projection called</t>
    </r>
    <r>
      <rPr>
        <b/>
        <sz val="8"/>
        <color theme="1"/>
        <rFont val="Montserrat Medium"/>
        <family val="3"/>
      </rPr>
      <t xml:space="preserve"> 16_EC and 17_CC</t>
    </r>
  </si>
  <si>
    <t>1. The trend of the data for these parameters (in this case constant) was identified in reference [2] for flywheels. 
2. It is considered these parameters will not have a variation in the period 2020-2050 due it technological maturity.</t>
  </si>
  <si>
    <r>
      <t xml:space="preserve">Specific energy </t>
    </r>
    <r>
      <rPr>
        <sz val="8"/>
        <color theme="1"/>
        <rFont val="Montserrat Medium"/>
        <family val="3"/>
      </rPr>
      <t>(Wh/kg)</t>
    </r>
  </si>
  <si>
    <r>
      <t xml:space="preserve">Specific density </t>
    </r>
    <r>
      <rPr>
        <sz val="8"/>
        <color theme="1"/>
        <rFont val="Montserrat Medium"/>
        <family val="3"/>
      </rPr>
      <t>(kWh/m3)</t>
    </r>
  </si>
  <si>
    <r>
      <t xml:space="preserve">Energy storage capacity for one unit </t>
    </r>
    <r>
      <rPr>
        <sz val="8"/>
        <color theme="1"/>
        <rFont val="Montserrat Medium"/>
        <family val="3"/>
      </rPr>
      <t>(MWh)</t>
    </r>
  </si>
  <si>
    <r>
      <t xml:space="preserve">Output capacity for one unit </t>
    </r>
    <r>
      <rPr>
        <sz val="8"/>
        <color theme="1"/>
        <rFont val="Montserrat Medium"/>
        <family val="3"/>
      </rPr>
      <t>(MW)</t>
    </r>
  </si>
  <si>
    <r>
      <t xml:space="preserve">Input capacity for one unit </t>
    </r>
    <r>
      <rPr>
        <sz val="8"/>
        <color theme="1"/>
        <rFont val="Montserrat Medium"/>
        <family val="3"/>
      </rPr>
      <t>(MW)</t>
    </r>
  </si>
  <si>
    <r>
      <t xml:space="preserve">Round trip efficiency </t>
    </r>
    <r>
      <rPr>
        <sz val="8"/>
        <color theme="1"/>
        <rFont val="Montserrat Medium"/>
        <family val="3"/>
      </rPr>
      <t>(%)</t>
    </r>
  </si>
  <si>
    <r>
      <t xml:space="preserve"> - Discharge efficiency </t>
    </r>
    <r>
      <rPr>
        <sz val="8"/>
        <color theme="1"/>
        <rFont val="Montserrat Medium"/>
        <family val="3"/>
      </rPr>
      <t>(%)</t>
    </r>
  </si>
  <si>
    <r>
      <t xml:space="preserve">Energy losses during storage </t>
    </r>
    <r>
      <rPr>
        <sz val="8"/>
        <color theme="1"/>
        <rFont val="Montserrat Medium"/>
        <family val="3"/>
      </rPr>
      <t>(%/day)</t>
    </r>
  </si>
  <si>
    <r>
      <t xml:space="preserve">Forced outage </t>
    </r>
    <r>
      <rPr>
        <sz val="8"/>
        <color theme="1"/>
        <rFont val="Montserrat Medium"/>
        <family val="3"/>
      </rPr>
      <t>(%)</t>
    </r>
  </si>
  <si>
    <r>
      <t xml:space="preserve">Planned outage </t>
    </r>
    <r>
      <rPr>
        <sz val="8"/>
        <color theme="1"/>
        <rFont val="Montserrat Medium"/>
        <family val="3"/>
      </rPr>
      <t>(weeks per year)</t>
    </r>
  </si>
  <si>
    <r>
      <t xml:space="preserve">Technical lifetime </t>
    </r>
    <r>
      <rPr>
        <sz val="8"/>
        <color theme="1"/>
        <rFont val="Montserrat Medium"/>
        <family val="3"/>
      </rPr>
      <t>(years)</t>
    </r>
  </si>
  <si>
    <r>
      <t xml:space="preserve">Construction time </t>
    </r>
    <r>
      <rPr>
        <sz val="8"/>
        <color theme="1"/>
        <rFont val="Montserrat Medium"/>
        <family val="3"/>
      </rPr>
      <t>(years)</t>
    </r>
  </si>
  <si>
    <r>
      <t xml:space="preserve">Response time from idle to full-rated discharge </t>
    </r>
    <r>
      <rPr>
        <sz val="8"/>
        <color theme="1"/>
        <rFont val="Montserrat Medium"/>
        <family val="3"/>
      </rPr>
      <t>(sec)</t>
    </r>
  </si>
  <si>
    <r>
      <t xml:space="preserve">Response time from full-rated charge to full-rated  discharge </t>
    </r>
    <r>
      <rPr>
        <sz val="8"/>
        <color theme="1"/>
        <rFont val="Montserrat Medium"/>
        <family val="3"/>
      </rPr>
      <t>(sec)</t>
    </r>
  </si>
  <si>
    <r>
      <t xml:space="preserve">Specific investment </t>
    </r>
    <r>
      <rPr>
        <sz val="8"/>
        <color theme="1"/>
        <rFont val="Montserrat Medium"/>
        <family val="3"/>
      </rPr>
      <t>(MUSD2020 per MWh)</t>
    </r>
  </si>
  <si>
    <r>
      <t xml:space="preserve">  -Energy component </t>
    </r>
    <r>
      <rPr>
        <sz val="8"/>
        <color theme="1"/>
        <rFont val="Montserrat Medium"/>
        <family val="3"/>
      </rPr>
      <t>(MUSD2020/MWh)</t>
    </r>
  </si>
  <si>
    <r>
      <t xml:space="preserve">  -Capacity component </t>
    </r>
    <r>
      <rPr>
        <sz val="8"/>
        <color theme="1"/>
        <rFont val="Montserrat Medium"/>
        <family val="3"/>
      </rPr>
      <t>(MUSD2020/MW)</t>
    </r>
  </si>
  <si>
    <r>
      <t xml:space="preserve">Variable O&amp;M </t>
    </r>
    <r>
      <rPr>
        <sz val="8"/>
        <color theme="1"/>
        <rFont val="Montserrat Medium"/>
        <family val="3"/>
      </rPr>
      <t>(USD2020/MWh/year)</t>
    </r>
  </si>
  <si>
    <r>
      <t xml:space="preserve">Specific investment </t>
    </r>
    <r>
      <rPr>
        <sz val="8"/>
        <color theme="1"/>
        <rFont val="Montserrat Medium"/>
        <family val="3"/>
      </rPr>
      <t>(MUSD2020 per MW)</t>
    </r>
  </si>
  <si>
    <r>
      <t xml:space="preserve">Specific power </t>
    </r>
    <r>
      <rPr>
        <sz val="8"/>
        <color theme="1"/>
        <rFont val="Montserrat Medium"/>
        <family val="3"/>
      </rPr>
      <t>(W/kg)</t>
    </r>
  </si>
  <si>
    <r>
      <t xml:space="preserve">Power density </t>
    </r>
    <r>
      <rPr>
        <sz val="8"/>
        <color theme="1"/>
        <rFont val="Montserrat Medium"/>
        <family val="3"/>
      </rPr>
      <t>(kW/m3)</t>
    </r>
  </si>
  <si>
    <t>1. The uncertainty for this parameters has the same behaviour  to [1] because the design is based on the same operational capacities of the energy storage system.
2. This data is interpreted within the IRENA tool as "Calendar life"</t>
  </si>
  <si>
    <t>1. The uncertainty for these parameters has the same behaviour  to [1] because the design is based on the same operational capacities of the energy storage system.
2. This data is interpreted within the IRENA tool as "Energy installation cost" and "Power installation cost"</t>
  </si>
  <si>
    <t>1. The uncertainty for these parameters has the same behaviour  to [1] because the design is based on the same operational capacities of the energy storage system. 
2. This data is interpreted within the IRENA tool as "Cycle l ife"</t>
  </si>
  <si>
    <r>
      <t xml:space="preserve">1. This data is interpreted within the IRENA tool as "Round-trip efficiency" 
2. See exponential projection called </t>
    </r>
    <r>
      <rPr>
        <b/>
        <sz val="8"/>
        <color theme="1"/>
        <rFont val="Montserrat Medium"/>
        <family val="3"/>
      </rPr>
      <t>05_RTE</t>
    </r>
  </si>
  <si>
    <t>1. This technical data was calculated with an equation for Round Trip Efficiency (see Flywheels sheet).   2. In the chapter of Introduccion of the Catalogue, it is defined the equation of Round Trip Efficiency.</t>
  </si>
  <si>
    <t>1. The uncertainty for these parameters has the same behaviour  to [1] because the design is based on the same operational capacities of the energy storage system. 
2. This data is interpreted within the IRENA tool as "Usable Storage Capacity", "Round-tripwfficiency", "Self-discharge", and "Installed Storage Power". 
3. The uncertainty is zero percentage because the flywheels is a technology maturity.</t>
  </si>
  <si>
    <t>Procedure followed to determine the projection</t>
  </si>
  <si>
    <r>
      <t>1. The trend of the data for these parameters (in this case exponential growth) was</t>
    </r>
    <r>
      <rPr>
        <b/>
        <sz val="8"/>
        <color theme="1"/>
        <rFont val="Montserrat Medium"/>
        <family val="3"/>
      </rPr>
      <t xml:space="preserve"> identified in reference [1] </t>
    </r>
    <r>
      <rPr>
        <sz val="8"/>
        <color theme="1"/>
        <rFont val="Montserrat Medium"/>
        <family val="3"/>
      </rPr>
      <t>for flywheels. 
2. This data is interpreted within the IRENA tool as "Calendar life". 
3. See exponential projection called</t>
    </r>
    <r>
      <rPr>
        <b/>
        <sz val="8"/>
        <color theme="1"/>
        <rFont val="Montserrat Medium"/>
        <family val="3"/>
      </rPr>
      <t xml:space="preserve"> 11_TL</t>
    </r>
  </si>
  <si>
    <t>There no available data. This should be the same as the response above since the system is using spinning kinetic/mechanic energy.</t>
  </si>
  <si>
    <r>
      <t>1. The trend of the data for these parameters (in this case exponential decrease) was identified in reference [1] for flywheels. 
2. This data was calculated with an equation for Specific Investmen</t>
    </r>
    <r>
      <rPr>
        <b/>
        <sz val="8"/>
        <color theme="1"/>
        <rFont val="Montserrat Medium"/>
        <family val="3"/>
      </rPr>
      <t>(see Flywheels sheet</t>
    </r>
    <r>
      <rPr>
        <sz val="8"/>
        <color theme="1"/>
        <rFont val="Montserrat Medium"/>
        <family val="3"/>
      </rPr>
      <t>). 3. In the chapter of Introduccion of the Catalogue, it is defined the equation of Specific Investment.</t>
    </r>
  </si>
  <si>
    <t>1. The data obtained for the year 2020 was obtained from [6] (see Table A3).   2. There no available data to estimate trend, consequently, the data for the year 2020 is repeated for 2030 and 2050.</t>
  </si>
  <si>
    <r>
      <t xml:space="preserve">1. The trend of the data for these parameters (in this case exponential growth) was identified in reference [1] for flywheels. 
2. This data is interpreted within the IRENA tool as "Cycle life". 3. See exponential projection called </t>
    </r>
    <r>
      <rPr>
        <b/>
        <sz val="8"/>
        <color theme="1"/>
        <rFont val="Montserrat Medium"/>
        <family val="3"/>
      </rPr>
      <t>23_LTN. 4. For this parameter, the values are rounded values in Flywheels sheet</t>
    </r>
  </si>
  <si>
    <t>1. The uncertainty is calculated with the similar numerical behaviour from [2]. 
2. The exchange ratio for 2030 is estimated by linear regression between the exchange ratio 2020 and 2050 (see USE_L sheet)</t>
  </si>
  <si>
    <t xml:space="preserve">1. The uncertainty is calculated with the similar numerical behaviour from [2]. </t>
  </si>
  <si>
    <t>1. The uncertainty is the same as [2] to keep the consistency between data.</t>
  </si>
  <si>
    <t>1. The uncertainty is the same as [4] to keep the consistency between data.</t>
  </si>
  <si>
    <t>1. The uncertainty was calculated with an equation for Specific Investment (see Flywheels sheet). 2. In the chapter of Introduccion of the Catalogue, it is defined the equation of Specific Investment.</t>
  </si>
  <si>
    <t>1. The uncertainty is the same as [6] to keep the consistency between data (see Table A3).</t>
  </si>
  <si>
    <r>
      <t xml:space="preserve"> energy component </t>
    </r>
    <r>
      <rPr>
        <sz val="9"/>
        <color rgb="FF000000"/>
        <rFont val="Montserrat Medium"/>
        <family val="3"/>
      </rPr>
      <t>(MUSD2020 per MWh)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</si>
</sst>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0.0"/>
    <numFmt numFmtId="166" formatCode="0.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u/>
      <sz val="10"/>
      <color indexed="12"/>
      <name val="Arial"/>
      <family val="2"/>
    </font>
    <font>
      <u/>
      <sz val="11"/>
      <color theme="10"/>
      <name val="Calibri"/>
      <family val="2"/>
      <scheme val="minor"/>
    </font>
    <font>
      <sz val="11"/>
      <color indexed="62"/>
      <name val="Calibri"/>
      <family val="2"/>
    </font>
    <font>
      <sz val="11"/>
      <color indexed="60"/>
      <name val="Calibri"/>
      <family val="2"/>
    </font>
    <font>
      <sz val="10"/>
      <name val="Arial"/>
      <family val="2"/>
    </font>
    <font>
      <b/>
      <sz val="11"/>
      <color indexed="63"/>
      <name val="Calibri"/>
      <family val="2"/>
    </font>
    <font>
      <b/>
      <sz val="11"/>
      <color indexed="8"/>
      <name val="Calibri"/>
      <family val="2"/>
    </font>
    <font>
      <sz val="11"/>
      <color theme="1"/>
      <name val="Montserrat Medium"/>
      <family val="3"/>
    </font>
    <font>
      <sz val="11"/>
      <color rgb="FF44546A"/>
      <name val="Montserrat Medium"/>
      <family val="3"/>
    </font>
    <font>
      <b/>
      <sz val="8"/>
      <color theme="1"/>
      <name val="Montserrat Medium"/>
      <family val="3"/>
    </font>
    <font>
      <b/>
      <sz val="7"/>
      <color theme="1"/>
      <name val="Montserrat Medium"/>
      <family val="3"/>
    </font>
    <font>
      <sz val="8"/>
      <color theme="1"/>
      <name val="Montserrat Medium"/>
      <family val="3"/>
    </font>
    <font>
      <b/>
      <sz val="11"/>
      <color theme="1"/>
      <name val="Montserrat Medium"/>
      <family val="3"/>
    </font>
    <font>
      <sz val="7"/>
      <color theme="1"/>
      <name val="Montserrat Medium"/>
      <family val="3"/>
    </font>
    <font>
      <i/>
      <sz val="11"/>
      <color theme="1"/>
      <name val="Montserrat Medium"/>
      <family val="3"/>
    </font>
    <font>
      <i/>
      <sz val="8"/>
      <color theme="1"/>
      <name val="Montserrat Medium"/>
      <family val="3"/>
    </font>
    <font>
      <sz val="11"/>
      <color rgb="FF000000"/>
      <name val="Montserrat Medium"/>
      <family val="3"/>
    </font>
    <font>
      <sz val="12"/>
      <color theme="1"/>
      <name val="Montserrat Medium"/>
      <family val="3"/>
    </font>
    <font>
      <i/>
      <sz val="12"/>
      <color theme="1"/>
      <name val="Montserrat Medium"/>
      <family val="3"/>
    </font>
    <font>
      <b/>
      <sz val="14"/>
      <color rgb="FF00707D"/>
      <name val="Montserrat Medium"/>
      <family val="3"/>
    </font>
    <font>
      <sz val="10"/>
      <color theme="1"/>
      <name val="Montserrat Medium"/>
      <family val="3"/>
    </font>
    <font>
      <sz val="10"/>
      <color rgb="FF000000"/>
      <name val="Montserrat Medium"/>
      <family val="3"/>
    </font>
    <font>
      <i/>
      <sz val="10"/>
      <color theme="1"/>
      <name val="Montserrat Medium"/>
      <family val="3"/>
    </font>
    <font>
      <b/>
      <sz val="10"/>
      <color theme="1"/>
      <name val="Montserrat Medium"/>
      <family val="3"/>
    </font>
    <font>
      <b/>
      <sz val="9"/>
      <color theme="1"/>
      <name val="Montserrat Medium"/>
      <family val="3"/>
    </font>
    <font>
      <sz val="9"/>
      <color theme="1"/>
      <name val="Montserrat Medium"/>
      <family val="3"/>
    </font>
    <font>
      <sz val="9"/>
      <name val="Montserrat Medium"/>
      <family val="3"/>
    </font>
    <font>
      <sz val="9"/>
      <color rgb="FF000000"/>
      <name val="Montserrat Medium"/>
      <family val="3"/>
    </font>
    <font>
      <b/>
      <sz val="9"/>
      <color rgb="FF000000"/>
      <name val="Montserrat Medium"/>
      <family val="3"/>
    </font>
  </fonts>
  <fills count="5">
    <fill>
      <patternFill patternType="none"/>
    </fill>
    <fill>
      <patternFill patternType="gray125"/>
    </fill>
    <fill>
      <patternFill patternType="solid">
        <fgColor indexed="47"/>
      </patternFill>
    </fill>
    <fill>
      <patternFill patternType="solid">
        <fgColor indexed="43"/>
      </patternFill>
    </fill>
    <fill>
      <patternFill patternType="solid">
        <fgColor indexed="2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4">
    <xf numFmtId="0" fontId="0" fillId="0" borderId="0"/>
    <xf numFmtId="0" fontId="1" fillId="0" borderId="0"/>
    <xf numFmtId="43" fontId="1"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2" borderId="2" applyNumberFormat="0" applyAlignment="0" applyProtection="0"/>
    <xf numFmtId="43" fontId="1" fillId="0" borderId="0" applyFont="0" applyFill="0" applyBorder="0" applyAlignment="0" applyProtection="0"/>
    <xf numFmtId="164" fontId="3" fillId="0" borderId="0" applyFont="0" applyFill="0" applyBorder="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0" borderId="0"/>
    <xf numFmtId="0" fontId="3" fillId="0" borderId="0"/>
    <xf numFmtId="0" fontId="8" fillId="0" borderId="0"/>
    <xf numFmtId="0" fontId="8" fillId="0" borderId="0"/>
    <xf numFmtId="0" fontId="9" fillId="4" borderId="3" applyNumberFormat="0" applyAlignment="0" applyProtection="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0" fillId="0" borderId="4" applyNumberFormat="0" applyFill="0" applyAlignment="0" applyProtection="0"/>
    <xf numFmtId="9" fontId="1" fillId="0" borderId="0" applyFont="0" applyFill="0" applyBorder="0" applyAlignment="0" applyProtection="0"/>
  </cellStyleXfs>
  <cellXfs count="129">
    <xf numFmtId="0" fontId="0" fillId="0" borderId="0" xfId="0"/>
    <xf numFmtId="0" fontId="11" fillId="0" borderId="0" xfId="1" applyFont="1" applyFill="1" applyBorder="1"/>
    <xf numFmtId="0" fontId="12" fillId="0" borderId="0" xfId="1" applyFont="1" applyFill="1" applyBorder="1" applyAlignment="1">
      <alignment vertical="center"/>
    </xf>
    <xf numFmtId="0" fontId="14" fillId="0" borderId="0" xfId="1" applyFont="1" applyFill="1" applyBorder="1" applyAlignment="1">
      <alignment horizontal="center" vertical="center" wrapText="1"/>
    </xf>
    <xf numFmtId="0" fontId="11" fillId="0" borderId="0" xfId="1" applyFont="1" applyFill="1" applyBorder="1" applyAlignment="1">
      <alignment vertical="center" wrapText="1"/>
    </xf>
    <xf numFmtId="0" fontId="16" fillId="0" borderId="0" xfId="1" applyFont="1" applyFill="1" applyBorder="1" applyAlignment="1">
      <alignment vertical="center"/>
    </xf>
    <xf numFmtId="0" fontId="11" fillId="0" borderId="0" xfId="1" applyFont="1" applyFill="1" applyBorder="1" applyAlignment="1">
      <alignment vertical="center"/>
    </xf>
    <xf numFmtId="0" fontId="14" fillId="0" borderId="0" xfId="1" applyFont="1" applyFill="1" applyBorder="1" applyAlignment="1">
      <alignment vertical="center" wrapText="1"/>
    </xf>
    <xf numFmtId="0" fontId="17" fillId="0" borderId="0" xfId="1" applyFont="1" applyFill="1" applyBorder="1" applyAlignment="1">
      <alignment horizontal="center" vertical="center" wrapText="1"/>
    </xf>
    <xf numFmtId="0" fontId="18" fillId="0" borderId="0" xfId="1" applyFont="1" applyFill="1" applyBorder="1" applyAlignment="1">
      <alignment vertical="center"/>
    </xf>
    <xf numFmtId="0" fontId="11" fillId="0" borderId="0" xfId="0" applyFont="1" applyFill="1" applyBorder="1" applyAlignment="1" applyProtection="1">
      <alignment horizontal="right"/>
      <protection locked="0"/>
    </xf>
    <xf numFmtId="165" fontId="16" fillId="0" borderId="0" xfId="0" applyNumberFormat="1" applyFont="1" applyFill="1" applyBorder="1" applyAlignment="1" applyProtection="1">
      <alignment horizontal="right"/>
      <protection hidden="1"/>
    </xf>
    <xf numFmtId="0" fontId="16" fillId="0" borderId="0" xfId="0" applyFont="1" applyFill="1" applyBorder="1" applyProtection="1">
      <protection locked="0"/>
    </xf>
    <xf numFmtId="165" fontId="11" fillId="0" borderId="0" xfId="0" applyNumberFormat="1" applyFont="1" applyFill="1" applyBorder="1" applyAlignment="1" applyProtection="1">
      <alignment horizontal="right"/>
      <protection hidden="1"/>
    </xf>
    <xf numFmtId="0" fontId="11" fillId="0" borderId="0" xfId="0" applyFont="1" applyFill="1" applyBorder="1" applyProtection="1">
      <protection locked="0"/>
    </xf>
    <xf numFmtId="0" fontId="16" fillId="0" borderId="0" xfId="1" applyFont="1" applyFill="1" applyBorder="1" applyAlignment="1">
      <alignment horizontal="right" vertical="center"/>
    </xf>
    <xf numFmtId="0" fontId="11" fillId="0" borderId="0" xfId="1" applyFont="1" applyFill="1" applyBorder="1" applyAlignment="1">
      <alignment horizontal="right"/>
    </xf>
    <xf numFmtId="0" fontId="20" fillId="0" borderId="0" xfId="1" applyFont="1" applyFill="1" applyBorder="1"/>
    <xf numFmtId="0" fontId="11" fillId="0" borderId="0" xfId="0" applyFont="1" applyFill="1" applyBorder="1"/>
    <xf numFmtId="0" fontId="21" fillId="0" borderId="0" xfId="14" applyFont="1" applyFill="1" applyBorder="1"/>
    <xf numFmtId="0" fontId="20" fillId="0" borderId="0" xfId="1" applyFont="1" applyFill="1" applyBorder="1" applyAlignment="1">
      <alignment horizontal="left" vertical="center"/>
    </xf>
    <xf numFmtId="0" fontId="11" fillId="0" borderId="0" xfId="1" applyFont="1" applyFill="1" applyBorder="1" applyAlignment="1">
      <alignment horizontal="left"/>
    </xf>
    <xf numFmtId="0" fontId="23" fillId="0" borderId="0" xfId="1" applyFont="1" applyFill="1" applyBorder="1" applyAlignment="1">
      <alignment horizontal="left" vertical="center"/>
    </xf>
    <xf numFmtId="0" fontId="11" fillId="0" borderId="0" xfId="0" applyFont="1" applyFill="1" applyAlignment="1">
      <alignment horizontal="center" vertical="center" wrapText="1"/>
    </xf>
    <xf numFmtId="0" fontId="11" fillId="0" borderId="0" xfId="0" applyFont="1"/>
    <xf numFmtId="0" fontId="13" fillId="0" borderId="0" xfId="0" applyFont="1" applyAlignment="1">
      <alignment horizontal="left" vertical="center" wrapText="1"/>
    </xf>
    <xf numFmtId="0" fontId="13" fillId="0" borderId="0" xfId="0" applyFont="1" applyFill="1" applyAlignment="1">
      <alignment horizontal="left" vertical="center" wrapText="1"/>
    </xf>
    <xf numFmtId="0" fontId="15" fillId="0" borderId="0" xfId="0" applyFont="1" applyFill="1" applyAlignment="1">
      <alignment horizontal="left" vertical="center" wrapText="1"/>
    </xf>
    <xf numFmtId="0" fontId="11" fillId="0" borderId="0" xfId="0" applyFont="1" applyAlignment="1">
      <alignment horizontal="left"/>
    </xf>
    <xf numFmtId="0" fontId="13" fillId="0" borderId="1" xfId="0" applyFont="1" applyBorder="1" applyAlignment="1">
      <alignment horizontal="left" vertical="center" wrapText="1"/>
    </xf>
    <xf numFmtId="0" fontId="11" fillId="0" borderId="0" xfId="0" applyFont="1" applyAlignment="1">
      <alignment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xf numFmtId="0" fontId="16" fillId="0" borderId="1" xfId="0" applyFont="1" applyBorder="1" applyAlignment="1">
      <alignment horizontal="center" vertical="center"/>
    </xf>
    <xf numFmtId="2" fontId="11" fillId="0" borderId="1" xfId="0" applyNumberFormat="1" applyFont="1" applyBorder="1" applyAlignment="1">
      <alignment horizontal="center" vertical="center"/>
    </xf>
    <xf numFmtId="166" fontId="11" fillId="0" borderId="1" xfId="23" applyNumberFormat="1" applyFont="1" applyBorder="1" applyAlignment="1">
      <alignment horizontal="center" vertical="center"/>
    </xf>
    <xf numFmtId="166" fontId="11" fillId="0" borderId="1" xfId="0" applyNumberFormat="1" applyFont="1" applyBorder="1" applyAlignment="1">
      <alignment horizontal="center" vertical="center"/>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13" fillId="0" borderId="0" xfId="0" applyFont="1" applyFill="1" applyAlignment="1">
      <alignment horizontal="center" vertical="center" wrapText="1"/>
    </xf>
    <xf numFmtId="1" fontId="11" fillId="0" borderId="0" xfId="0" applyNumberFormat="1" applyFont="1" applyFill="1" applyAlignment="1">
      <alignment horizontal="center" vertical="center" wrapText="1"/>
    </xf>
    <xf numFmtId="165" fontId="11"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2" fontId="11" fillId="0" borderId="0" xfId="0" applyNumberFormat="1" applyFont="1" applyFill="1" applyAlignment="1">
      <alignment horizontal="center" vertical="center" wrapText="1"/>
    </xf>
    <xf numFmtId="166" fontId="11" fillId="0" borderId="0" xfId="0" applyNumberFormat="1" applyFont="1" applyFill="1" applyAlignment="1">
      <alignment horizontal="center" vertical="center" wrapText="1"/>
    </xf>
    <xf numFmtId="0" fontId="15" fillId="0" borderId="0" xfId="0" applyFont="1" applyFill="1" applyAlignment="1">
      <alignment vertical="center" wrapText="1"/>
    </xf>
    <xf numFmtId="3" fontId="11" fillId="0" borderId="0" xfId="0" applyNumberFormat="1" applyFont="1" applyFill="1" applyAlignment="1">
      <alignment horizontal="center" vertical="center" wrapText="1"/>
    </xf>
    <xf numFmtId="0" fontId="18" fillId="0" borderId="0" xfId="0" applyFont="1" applyFill="1" applyAlignment="1">
      <alignment horizontal="center" vertical="center" wrapText="1"/>
    </xf>
    <xf numFmtId="1" fontId="18" fillId="0" borderId="0" xfId="0" applyNumberFormat="1" applyFont="1" applyFill="1" applyAlignment="1">
      <alignment horizontal="center" vertical="center" wrapText="1"/>
    </xf>
    <xf numFmtId="0" fontId="11" fillId="0" borderId="0" xfId="0" applyFont="1" applyFill="1" applyAlignment="1">
      <alignment horizontal="left" vertical="center" wrapText="1"/>
    </xf>
    <xf numFmtId="0" fontId="24" fillId="0" borderId="0" xfId="1" applyFont="1" applyFill="1" applyAlignment="1">
      <alignment horizontal="right"/>
    </xf>
    <xf numFmtId="0" fontId="24" fillId="0" borderId="0" xfId="1" applyFont="1" applyFill="1"/>
    <xf numFmtId="0" fontId="25" fillId="0" borderId="0" xfId="1" applyFont="1" applyFill="1"/>
    <xf numFmtId="0" fontId="24" fillId="0" borderId="0" xfId="0" applyFont="1" applyFill="1"/>
    <xf numFmtId="0" fontId="24" fillId="0" borderId="0" xfId="14" applyFont="1" applyFill="1"/>
    <xf numFmtId="0" fontId="16" fillId="0" borderId="0" xfId="0" applyFont="1" applyFill="1" applyAlignment="1">
      <alignment vertical="center" wrapText="1"/>
    </xf>
    <xf numFmtId="0" fontId="11" fillId="0" borderId="0" xfId="0" applyFont="1" applyFill="1"/>
    <xf numFmtId="0" fontId="11" fillId="0" borderId="0" xfId="0" applyFont="1" applyFill="1" applyAlignment="1"/>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2" fillId="0" borderId="0" xfId="0" applyFont="1" applyFill="1" applyBorder="1" applyAlignment="1">
      <alignment vertical="top" wrapText="1"/>
    </xf>
    <xf numFmtId="0" fontId="27" fillId="0" borderId="0" xfId="0" applyFont="1" applyFill="1" applyBorder="1" applyAlignment="1">
      <alignment vertical="top" wrapText="1"/>
    </xf>
    <xf numFmtId="0" fontId="16" fillId="0" borderId="0" xfId="0" applyFont="1" applyFill="1" applyBorder="1" applyAlignment="1">
      <alignment vertical="top"/>
    </xf>
    <xf numFmtId="0" fontId="28" fillId="0" borderId="1" xfId="1" applyFont="1" applyFill="1" applyBorder="1" applyAlignment="1">
      <alignment vertical="center" wrapText="1"/>
    </xf>
    <xf numFmtId="0" fontId="28" fillId="0" borderId="1" xfId="1" applyFont="1" applyFill="1" applyBorder="1" applyAlignment="1">
      <alignment horizontal="center" vertical="center" wrapText="1"/>
    </xf>
    <xf numFmtId="0" fontId="29" fillId="0" borderId="1" xfId="1" applyFont="1" applyFill="1" applyBorder="1" applyAlignment="1">
      <alignment horizontal="center" vertical="center" wrapText="1"/>
    </xf>
    <xf numFmtId="165" fontId="31" fillId="0" borderId="1" xfId="1" applyNumberFormat="1" applyFont="1" applyFill="1" applyBorder="1" applyAlignment="1">
      <alignment horizontal="center" vertical="center" wrapText="1"/>
    </xf>
    <xf numFmtId="1" fontId="31" fillId="0" borderId="1" xfId="1" applyNumberFormat="1" applyFont="1" applyFill="1" applyBorder="1" applyAlignment="1">
      <alignment horizontal="center" vertical="center" wrapText="1"/>
    </xf>
    <xf numFmtId="1" fontId="29" fillId="0" borderId="1" xfId="1" applyNumberFormat="1" applyFont="1" applyFill="1" applyBorder="1" applyAlignment="1">
      <alignment horizontal="center" vertical="center" wrapText="1"/>
    </xf>
    <xf numFmtId="0" fontId="31" fillId="0" borderId="1" xfId="1" applyFont="1" applyFill="1" applyBorder="1" applyAlignment="1">
      <alignment horizontal="center" vertical="center" wrapText="1"/>
    </xf>
    <xf numFmtId="2" fontId="31" fillId="0" borderId="1" xfId="1" applyNumberFormat="1" applyFont="1" applyFill="1" applyBorder="1" applyAlignment="1">
      <alignment horizontal="center" vertical="center" wrapText="1"/>
    </xf>
    <xf numFmtId="166" fontId="31" fillId="0" borderId="1" xfId="1" applyNumberFormat="1" applyFont="1" applyFill="1" applyBorder="1" applyAlignment="1">
      <alignment horizontal="center" vertical="center" wrapText="1"/>
    </xf>
    <xf numFmtId="165" fontId="29" fillId="0" borderId="1" xfId="1" applyNumberFormat="1" applyFont="1" applyFill="1" applyBorder="1" applyAlignment="1">
      <alignment horizontal="center" vertical="center" wrapText="1"/>
    </xf>
    <xf numFmtId="2" fontId="29" fillId="0" borderId="1" xfId="1" applyNumberFormat="1" applyFont="1" applyFill="1" applyBorder="1" applyAlignment="1">
      <alignment horizontal="center" vertical="center" wrapText="1"/>
    </xf>
    <xf numFmtId="3" fontId="31" fillId="0" borderId="1" xfId="1" applyNumberFormat="1" applyFont="1" applyFill="1" applyBorder="1" applyAlignment="1">
      <alignment horizontal="center" vertical="center" wrapText="1"/>
    </xf>
    <xf numFmtId="0" fontId="14" fillId="0" borderId="0" xfId="1" applyFont="1" applyFill="1" applyBorder="1" applyAlignment="1">
      <alignment vertical="center" wrapText="1"/>
    </xf>
    <xf numFmtId="0" fontId="14" fillId="0" borderId="0"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28" fillId="0" borderId="1" xfId="1" applyFont="1" applyFill="1" applyBorder="1" applyAlignment="1">
      <alignment horizontal="left" vertical="center" wrapText="1"/>
    </xf>
    <xf numFmtId="0" fontId="28" fillId="0" borderId="6"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32" fillId="0" borderId="1" xfId="1" applyFont="1" applyFill="1" applyBorder="1" applyAlignment="1">
      <alignment horizontal="left" vertical="center" wrapText="1"/>
    </xf>
    <xf numFmtId="0" fontId="28" fillId="0" borderId="1" xfId="1" applyFont="1" applyFill="1" applyBorder="1" applyAlignment="1">
      <alignment horizontal="center" vertical="center" wrapText="1"/>
    </xf>
    <xf numFmtId="0" fontId="30" fillId="0" borderId="1" xfId="1"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horizontal="left" vertical="center" wrapText="1"/>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16" fillId="0" borderId="1" xfId="0" applyFont="1" applyBorder="1" applyAlignment="1">
      <alignment horizontal="center" vertical="center" wrapText="1"/>
    </xf>
    <xf numFmtId="0" fontId="11" fillId="0" borderId="1" xfId="0" applyFont="1" applyBorder="1" applyAlignment="1">
      <alignment horizontal="center" vertical="center"/>
    </xf>
    <xf numFmtId="0" fontId="24" fillId="0" borderId="1" xfId="0" applyFont="1" applyFill="1" applyBorder="1" applyAlignment="1">
      <alignment horizontal="left"/>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16" fillId="0" borderId="0" xfId="0" applyFont="1" applyAlignment="1">
      <alignment horizontal="left" vertical="center"/>
    </xf>
    <xf numFmtId="0" fontId="28" fillId="0" borderId="11" xfId="1" applyFont="1" applyFill="1" applyBorder="1" applyAlignment="1">
      <alignment vertical="center" wrapText="1"/>
    </xf>
    <xf numFmtId="0" fontId="28" fillId="0" borderId="12" xfId="1" applyFont="1" applyFill="1" applyBorder="1" applyAlignment="1">
      <alignment horizontal="center" vertical="center" wrapText="1"/>
    </xf>
    <xf numFmtId="0" fontId="28" fillId="0" borderId="13" xfId="1" applyFont="1" applyFill="1" applyBorder="1" applyAlignment="1">
      <alignment horizontal="center" vertical="center" wrapText="1"/>
    </xf>
    <xf numFmtId="0" fontId="29" fillId="0" borderId="14" xfId="1" applyFont="1" applyFill="1" applyBorder="1" applyAlignment="1">
      <alignment vertical="center" wrapText="1"/>
    </xf>
    <xf numFmtId="0" fontId="28" fillId="0" borderId="15" xfId="1" applyFont="1" applyFill="1" applyBorder="1" applyAlignment="1">
      <alignment horizontal="center" vertical="center" wrapText="1"/>
    </xf>
    <xf numFmtId="0" fontId="28" fillId="0" borderId="14" xfId="1" applyFont="1" applyFill="1" applyBorder="1" applyAlignment="1">
      <alignment vertical="center" wrapText="1"/>
    </xf>
    <xf numFmtId="0" fontId="28" fillId="0" borderId="15" xfId="1" applyFont="1" applyFill="1" applyBorder="1" applyAlignment="1">
      <alignment vertical="center" wrapText="1"/>
    </xf>
    <xf numFmtId="0" fontId="29" fillId="0" borderId="14" xfId="1" applyFont="1" applyFill="1" applyBorder="1" applyAlignment="1">
      <alignment vertical="center" wrapText="1"/>
    </xf>
    <xf numFmtId="0" fontId="29" fillId="0" borderId="15" xfId="1" applyFont="1" applyFill="1" applyBorder="1" applyAlignment="1">
      <alignment horizontal="center" vertical="center" wrapText="1"/>
    </xf>
    <xf numFmtId="0" fontId="29" fillId="0" borderId="14" xfId="1" applyFont="1" applyFill="1" applyBorder="1" applyAlignment="1">
      <alignment horizontal="left" vertical="center" wrapText="1"/>
    </xf>
    <xf numFmtId="0" fontId="28" fillId="0" borderId="14" xfId="1" applyFont="1" applyFill="1" applyBorder="1" applyAlignment="1">
      <alignment horizontal="left" vertical="center" wrapText="1"/>
    </xf>
    <xf numFmtId="0" fontId="28" fillId="0" borderId="15" xfId="1" applyFont="1" applyFill="1" applyBorder="1" applyAlignment="1">
      <alignment horizontal="left" vertical="center" wrapText="1"/>
    </xf>
    <xf numFmtId="0" fontId="31" fillId="0" borderId="14" xfId="1" applyFont="1" applyFill="1" applyBorder="1" applyAlignment="1">
      <alignment horizontal="left" vertical="center" wrapText="1"/>
    </xf>
    <xf numFmtId="0" fontId="32" fillId="0" borderId="14" xfId="1" applyFont="1" applyFill="1" applyBorder="1" applyAlignment="1">
      <alignment horizontal="left" vertical="center" wrapText="1"/>
    </xf>
    <xf numFmtId="0" fontId="32" fillId="0" borderId="15" xfId="1" applyFont="1" applyFill="1" applyBorder="1" applyAlignment="1">
      <alignment horizontal="left" vertical="center" wrapText="1"/>
    </xf>
    <xf numFmtId="0" fontId="31" fillId="0" borderId="15" xfId="1" applyFont="1" applyFill="1" applyBorder="1" applyAlignment="1">
      <alignment horizontal="center" vertical="center" wrapText="1"/>
    </xf>
    <xf numFmtId="0" fontId="31" fillId="0" borderId="16" xfId="1" applyFont="1" applyFill="1" applyBorder="1" applyAlignment="1">
      <alignment horizontal="left" vertical="center" wrapText="1"/>
    </xf>
    <xf numFmtId="0" fontId="31" fillId="0" borderId="17" xfId="1" applyFont="1" applyFill="1" applyBorder="1" applyAlignment="1">
      <alignment horizontal="center" vertical="center" wrapText="1"/>
    </xf>
    <xf numFmtId="1" fontId="31" fillId="0" borderId="17" xfId="1" applyNumberFormat="1" applyFont="1" applyFill="1" applyBorder="1" applyAlignment="1">
      <alignment horizontal="center" vertical="center" wrapText="1"/>
    </xf>
    <xf numFmtId="0" fontId="31" fillId="0" borderId="18" xfId="1" applyFont="1" applyFill="1" applyBorder="1" applyAlignment="1">
      <alignment horizontal="center" vertical="center" wrapText="1"/>
    </xf>
  </cellXfs>
  <cellStyles count="24">
    <cellStyle name="Comma 2" xfId="2" xr:uid="{00000000-0005-0000-0000-000000000000}"/>
    <cellStyle name="Comma 3" xfId="3" xr:uid="{00000000-0005-0000-0000-000001000000}"/>
    <cellStyle name="Comma0 - Type3" xfId="4" xr:uid="{00000000-0005-0000-0000-000002000000}"/>
    <cellStyle name="Fixed2 - Type2" xfId="5" xr:uid="{00000000-0005-0000-0000-000003000000}"/>
    <cellStyle name="Hyperlink 2" xfId="6" xr:uid="{00000000-0005-0000-0000-000004000000}"/>
    <cellStyle name="Hyperlink 3" xfId="7" xr:uid="{00000000-0005-0000-0000-000005000000}"/>
    <cellStyle name="Input 2" xfId="8" xr:uid="{00000000-0005-0000-0000-000006000000}"/>
    <cellStyle name="Komma 2" xfId="9" xr:uid="{00000000-0005-0000-0000-000007000000}"/>
    <cellStyle name="Komma 3" xfId="10" xr:uid="{00000000-0005-0000-0000-000008000000}"/>
    <cellStyle name="Link 2" xfId="11" xr:uid="{00000000-0005-0000-0000-000009000000}"/>
    <cellStyle name="Neutral 2" xfId="12" xr:uid="{00000000-0005-0000-0000-00000A000000}"/>
    <cellStyle name="Normal" xfId="0" builtinId="0"/>
    <cellStyle name="Normal 10" xfId="13" xr:uid="{00000000-0005-0000-0000-00000C000000}"/>
    <cellStyle name="Normal 2" xfId="14" xr:uid="{00000000-0005-0000-0000-00000D000000}"/>
    <cellStyle name="Normal 3" xfId="1" xr:uid="{00000000-0005-0000-0000-00000E000000}"/>
    <cellStyle name="Normal 6" xfId="15" xr:uid="{00000000-0005-0000-0000-00000F000000}"/>
    <cellStyle name="Normal 6 2" xfId="16" xr:uid="{00000000-0005-0000-0000-000010000000}"/>
    <cellStyle name="Output 2" xfId="17" xr:uid="{00000000-0005-0000-0000-000011000000}"/>
    <cellStyle name="Percen - Type1" xfId="18" xr:uid="{00000000-0005-0000-0000-000012000000}"/>
    <cellStyle name="Percent 2" xfId="19" xr:uid="{00000000-0005-0000-0000-000013000000}"/>
    <cellStyle name="Porcentaje" xfId="23" builtinId="5"/>
    <cellStyle name="Procent 2" xfId="20" xr:uid="{00000000-0005-0000-0000-000015000000}"/>
    <cellStyle name="Procent 3" xfId="21" xr:uid="{00000000-0005-0000-0000-000016000000}"/>
    <cellStyle name="Total 2" xfId="22"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externalLink" Target="externalLinks/externalLink1.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chartsheet" Target="chartsheets/sheet7.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8.484445212452002E-2"/>
                  <c:y val="0.65576158464982448"/>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Uncertanties!$R$2:$R$3</c:f>
              <c:numCache>
                <c:formatCode>General</c:formatCode>
                <c:ptCount val="2"/>
                <c:pt idx="0">
                  <c:v>2020</c:v>
                </c:pt>
                <c:pt idx="1">
                  <c:v>2050</c:v>
                </c:pt>
              </c:numCache>
            </c:numRef>
          </c:xVal>
          <c:yVal>
            <c:numRef>
              <c:f>Uncertanties!$S$2:$S$3</c:f>
              <c:numCache>
                <c:formatCode>0.00</c:formatCode>
                <c:ptCount val="2"/>
                <c:pt idx="0">
                  <c:v>-0.14285714285714285</c:v>
                </c:pt>
                <c:pt idx="1">
                  <c:v>0</c:v>
                </c:pt>
              </c:numCache>
            </c:numRef>
          </c:yVal>
          <c:smooth val="1"/>
          <c:extLst>
            <c:ext xmlns:c16="http://schemas.microsoft.com/office/drawing/2014/chart" uri="{C3380CC4-5D6E-409C-BE32-E72D297353CC}">
              <c16:uniqueId val="{00000000-573B-42E3-ADA2-781A712EE016}"/>
            </c:ext>
          </c:extLst>
        </c:ser>
        <c:dLbls>
          <c:showLegendKey val="0"/>
          <c:showVal val="0"/>
          <c:showCatName val="0"/>
          <c:showSerName val="0"/>
          <c:showPercent val="0"/>
          <c:showBubbleSize val="0"/>
        </c:dLbls>
        <c:axId val="132353024"/>
        <c:axId val="133448448"/>
      </c:scatterChart>
      <c:valAx>
        <c:axId val="132353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448448"/>
        <c:crosses val="autoZero"/>
        <c:crossBetween val="midCat"/>
      </c:valAx>
      <c:valAx>
        <c:axId val="1334484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23530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0.53307700682983716"/>
                  <c:y val="9.7792583616147181E-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(Data!$C$1,Data!$D$1,Data!$E$1,Data!$F$1)</c:f>
              <c:numCache>
                <c:formatCode>General</c:formatCode>
                <c:ptCount val="4"/>
                <c:pt idx="0">
                  <c:v>2016</c:v>
                </c:pt>
                <c:pt idx="1">
                  <c:v>2020</c:v>
                </c:pt>
                <c:pt idx="2">
                  <c:v>2025</c:v>
                </c:pt>
                <c:pt idx="3">
                  <c:v>2030</c:v>
                </c:pt>
              </c:numCache>
            </c:numRef>
          </c:xVal>
          <c:yVal>
            <c:numRef>
              <c:f>(Data!$C$5,Data!$D$5,Data!$E$5,Data!$F$5)</c:f>
              <c:numCache>
                <c:formatCode>General</c:formatCode>
                <c:ptCount val="4"/>
                <c:pt idx="0">
                  <c:v>84</c:v>
                </c:pt>
                <c:pt idx="1">
                  <c:v>85</c:v>
                </c:pt>
                <c:pt idx="2">
                  <c:v>86</c:v>
                </c:pt>
                <c:pt idx="3">
                  <c:v>87</c:v>
                </c:pt>
              </c:numCache>
            </c:numRef>
          </c:yVal>
          <c:smooth val="1"/>
          <c:extLst>
            <c:ext xmlns:c16="http://schemas.microsoft.com/office/drawing/2014/chart" uri="{C3380CC4-5D6E-409C-BE32-E72D297353CC}">
              <c16:uniqueId val="{00000000-E56A-431C-A4E0-E31219DB54A8}"/>
            </c:ext>
          </c:extLst>
        </c:ser>
        <c:dLbls>
          <c:showLegendKey val="0"/>
          <c:showVal val="0"/>
          <c:showCatName val="0"/>
          <c:showSerName val="0"/>
          <c:showPercent val="0"/>
          <c:showBubbleSize val="0"/>
        </c:dLbls>
        <c:axId val="109646592"/>
        <c:axId val="109648128"/>
      </c:scatterChart>
      <c:valAx>
        <c:axId val="109646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48128"/>
        <c:crosses val="autoZero"/>
        <c:crossBetween val="midCat"/>
      </c:valAx>
      <c:valAx>
        <c:axId val="109648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465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0.37954490247349448"/>
                  <c:y val="3.4204016551993031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(Data!$C$1,Data!$D$1,Data!$E$1,Data!$F$1)</c:f>
              <c:numCache>
                <c:formatCode>General</c:formatCode>
                <c:ptCount val="4"/>
                <c:pt idx="0">
                  <c:v>2016</c:v>
                </c:pt>
                <c:pt idx="1">
                  <c:v>2020</c:v>
                </c:pt>
                <c:pt idx="2">
                  <c:v>2025</c:v>
                </c:pt>
                <c:pt idx="3">
                  <c:v>2030</c:v>
                </c:pt>
              </c:numCache>
            </c:numRef>
          </c:xVal>
          <c:yVal>
            <c:numRef>
              <c:f>(Data!$C$8,Data!$D$8,Data!$E$8,Data!$F$8)</c:f>
              <c:numCache>
                <c:formatCode>General</c:formatCode>
                <c:ptCount val="4"/>
                <c:pt idx="0">
                  <c:v>60</c:v>
                </c:pt>
                <c:pt idx="1">
                  <c:v>53</c:v>
                </c:pt>
                <c:pt idx="2">
                  <c:v>45.6</c:v>
                </c:pt>
                <c:pt idx="3">
                  <c:v>39</c:v>
                </c:pt>
              </c:numCache>
            </c:numRef>
          </c:yVal>
          <c:smooth val="1"/>
          <c:extLst>
            <c:ext xmlns:c16="http://schemas.microsoft.com/office/drawing/2014/chart" uri="{C3380CC4-5D6E-409C-BE32-E72D297353CC}">
              <c16:uniqueId val="{00000000-D04E-4E64-9FF1-203E670A55F7}"/>
            </c:ext>
          </c:extLst>
        </c:ser>
        <c:dLbls>
          <c:showLegendKey val="0"/>
          <c:showVal val="0"/>
          <c:showCatName val="0"/>
          <c:showSerName val="0"/>
          <c:showPercent val="0"/>
          <c:showBubbleSize val="0"/>
        </c:dLbls>
        <c:axId val="109674496"/>
        <c:axId val="109676032"/>
      </c:scatterChart>
      <c:valAx>
        <c:axId val="109674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76032"/>
        <c:crosses val="autoZero"/>
        <c:crossBetween val="midCat"/>
      </c:valAx>
      <c:valAx>
        <c:axId val="109676032"/>
        <c:scaling>
          <c:orientation val="minMax"/>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744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0.16854067360907349"/>
                  <c:y val="0.60596315310329085"/>
                </c:manualLayout>
              </c:layout>
              <c:numFmt formatCode="#,##0.00000000000000000000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trendline>
            <c:spPr>
              <a:ln w="19050" cap="rnd">
                <a:solidFill>
                  <a:schemeClr val="accent1"/>
                </a:solidFill>
                <a:prstDash val="sysDot"/>
              </a:ln>
              <a:effectLst/>
            </c:spPr>
            <c:trendlineType val="linear"/>
            <c:dispRSqr val="0"/>
            <c:dispEq val="0"/>
          </c:trendline>
          <c:xVal>
            <c:numRef>
              <c:f>(Data!$C$1,Data!$D$1,Data!$E$1,Data!$F$1)</c:f>
              <c:numCache>
                <c:formatCode>General</c:formatCode>
                <c:ptCount val="4"/>
                <c:pt idx="0">
                  <c:v>2016</c:v>
                </c:pt>
                <c:pt idx="1">
                  <c:v>2020</c:v>
                </c:pt>
                <c:pt idx="2">
                  <c:v>2025</c:v>
                </c:pt>
                <c:pt idx="3">
                  <c:v>2030</c:v>
                </c:pt>
              </c:numCache>
            </c:numRef>
          </c:xVal>
          <c:yVal>
            <c:numRef>
              <c:f>(Data!$C$11,Data!$D$11,Data!$E$11,Data!$F$11)</c:f>
              <c:numCache>
                <c:formatCode>General</c:formatCode>
                <c:ptCount val="4"/>
                <c:pt idx="0">
                  <c:v>20</c:v>
                </c:pt>
                <c:pt idx="1">
                  <c:v>22.5</c:v>
                </c:pt>
                <c:pt idx="2">
                  <c:v>26.1</c:v>
                </c:pt>
                <c:pt idx="3">
                  <c:v>30.3</c:v>
                </c:pt>
              </c:numCache>
            </c:numRef>
          </c:yVal>
          <c:smooth val="1"/>
          <c:extLst>
            <c:ext xmlns:c16="http://schemas.microsoft.com/office/drawing/2014/chart" uri="{C3380CC4-5D6E-409C-BE32-E72D297353CC}">
              <c16:uniqueId val="{00000000-44B0-4FDF-8913-C8541F205F79}"/>
            </c:ext>
          </c:extLst>
        </c:ser>
        <c:dLbls>
          <c:showLegendKey val="0"/>
          <c:showVal val="0"/>
          <c:showCatName val="0"/>
          <c:showSerName val="0"/>
          <c:showPercent val="0"/>
          <c:showBubbleSize val="0"/>
        </c:dLbls>
        <c:axId val="109854720"/>
        <c:axId val="109856256"/>
      </c:scatterChart>
      <c:valAx>
        <c:axId val="109854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856256"/>
        <c:crosses val="autoZero"/>
        <c:crossBetween val="midCat"/>
      </c:valAx>
      <c:valAx>
        <c:axId val="109856256"/>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8547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3.3403297181884783E-2"/>
                  <c:y val="9.1137742763283666E-2"/>
                </c:manualLayout>
              </c:layout>
              <c:numFmt formatCode="#,##0.00000000000000000000000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(Data!$C$1,Data!$D$1,Data!$E$1,Data!$F$1)</c:f>
              <c:numCache>
                <c:formatCode>General</c:formatCode>
                <c:ptCount val="4"/>
                <c:pt idx="0">
                  <c:v>2016</c:v>
                </c:pt>
                <c:pt idx="1">
                  <c:v>2020</c:v>
                </c:pt>
                <c:pt idx="2">
                  <c:v>2025</c:v>
                </c:pt>
                <c:pt idx="3">
                  <c:v>2030</c:v>
                </c:pt>
              </c:numCache>
            </c:numRef>
          </c:xVal>
          <c:yVal>
            <c:numRef>
              <c:f>(Data!$C$16,Data!$D$16,Data!$E$16,Data!$F$16)</c:f>
              <c:numCache>
                <c:formatCode>0.00</c:formatCode>
                <c:ptCount val="4"/>
                <c:pt idx="0">
                  <c:v>3</c:v>
                </c:pt>
                <c:pt idx="1">
                  <c:v>2.6549999999999998</c:v>
                </c:pt>
                <c:pt idx="2">
                  <c:v>2.2799999999999998</c:v>
                </c:pt>
                <c:pt idx="3">
                  <c:v>1.958</c:v>
                </c:pt>
              </c:numCache>
            </c:numRef>
          </c:yVal>
          <c:smooth val="1"/>
          <c:extLst>
            <c:ext xmlns:c16="http://schemas.microsoft.com/office/drawing/2014/chart" uri="{C3380CC4-5D6E-409C-BE32-E72D297353CC}">
              <c16:uniqueId val="{00000000-8FA1-4A29-98EC-362EE6254C06}"/>
            </c:ext>
          </c:extLst>
        </c:ser>
        <c:dLbls>
          <c:showLegendKey val="0"/>
          <c:showVal val="0"/>
          <c:showCatName val="0"/>
          <c:showSerName val="0"/>
          <c:showPercent val="0"/>
          <c:showBubbleSize val="0"/>
        </c:dLbls>
        <c:axId val="109874176"/>
        <c:axId val="109884160"/>
      </c:scatterChart>
      <c:valAx>
        <c:axId val="109874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884160"/>
        <c:crosses val="autoZero"/>
        <c:crossBetween val="midCat"/>
      </c:valAx>
      <c:valAx>
        <c:axId val="109884160"/>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8741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2.0188480255108537E-2"/>
                  <c:y val="7.9740181690392181E-2"/>
                </c:manualLayout>
              </c:layout>
              <c:numFmt formatCode="#,##0.00000000000000000000000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(Data!$C$1,Data!$D$1,Data!$E$1,Data!$F$1)</c:f>
              <c:numCache>
                <c:formatCode>General</c:formatCode>
                <c:ptCount val="4"/>
                <c:pt idx="0">
                  <c:v>2016</c:v>
                </c:pt>
                <c:pt idx="1">
                  <c:v>2020</c:v>
                </c:pt>
                <c:pt idx="2">
                  <c:v>2025</c:v>
                </c:pt>
                <c:pt idx="3">
                  <c:v>2030</c:v>
                </c:pt>
              </c:numCache>
            </c:numRef>
          </c:xVal>
          <c:yVal>
            <c:numRef>
              <c:f>(Data!$C$17,Data!$D$17,Data!$E$17,Data!$F$17)</c:f>
              <c:numCache>
                <c:formatCode>0.00</c:formatCode>
                <c:ptCount val="4"/>
                <c:pt idx="0">
                  <c:v>0.3</c:v>
                </c:pt>
                <c:pt idx="1">
                  <c:v>0.26500000000000001</c:v>
                </c:pt>
                <c:pt idx="2">
                  <c:v>0.22800000000000001</c:v>
                </c:pt>
                <c:pt idx="3">
                  <c:v>0.19500000000000001</c:v>
                </c:pt>
              </c:numCache>
            </c:numRef>
          </c:yVal>
          <c:smooth val="1"/>
          <c:extLst>
            <c:ext xmlns:c16="http://schemas.microsoft.com/office/drawing/2014/chart" uri="{C3380CC4-5D6E-409C-BE32-E72D297353CC}">
              <c16:uniqueId val="{00000000-8A76-4DC4-ABFA-47F7B61FEDB6}"/>
            </c:ext>
          </c:extLst>
        </c:ser>
        <c:dLbls>
          <c:showLegendKey val="0"/>
          <c:showVal val="0"/>
          <c:showCatName val="0"/>
          <c:showSerName val="0"/>
          <c:showPercent val="0"/>
          <c:showBubbleSize val="0"/>
        </c:dLbls>
        <c:axId val="118077696"/>
        <c:axId val="118079488"/>
      </c:scatterChart>
      <c:valAx>
        <c:axId val="118077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8079488"/>
        <c:crosses val="autoZero"/>
        <c:crossBetween val="midCat"/>
      </c:valAx>
      <c:valAx>
        <c:axId val="118079488"/>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80776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6.2946472234986256E-2"/>
                  <c:y val="0.59612621172084024"/>
                </c:manualLayout>
              </c:layout>
              <c:numFmt formatCode="#,##0.00000000000000000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(Data!$C$1,Data!$D$1,Data!$E$1,Data!$F$1)</c:f>
              <c:numCache>
                <c:formatCode>General</c:formatCode>
                <c:ptCount val="4"/>
                <c:pt idx="0">
                  <c:v>2016</c:v>
                </c:pt>
                <c:pt idx="1">
                  <c:v>2020</c:v>
                </c:pt>
                <c:pt idx="2">
                  <c:v>2025</c:v>
                </c:pt>
                <c:pt idx="3">
                  <c:v>2030</c:v>
                </c:pt>
              </c:numCache>
            </c:numRef>
          </c:xVal>
          <c:yVal>
            <c:numRef>
              <c:f>(Data!$C$23,Data!$D$23,Data!$E$23,Data!$F$23)</c:f>
              <c:numCache>
                <c:formatCode>#,##0</c:formatCode>
                <c:ptCount val="4"/>
                <c:pt idx="0">
                  <c:v>200000</c:v>
                </c:pt>
                <c:pt idx="1">
                  <c:v>225101</c:v>
                </c:pt>
                <c:pt idx="2">
                  <c:v>260954</c:v>
                </c:pt>
                <c:pt idx="3">
                  <c:v>302517</c:v>
                </c:pt>
              </c:numCache>
            </c:numRef>
          </c:yVal>
          <c:smooth val="1"/>
          <c:extLst>
            <c:ext xmlns:c16="http://schemas.microsoft.com/office/drawing/2014/chart" uri="{C3380CC4-5D6E-409C-BE32-E72D297353CC}">
              <c16:uniqueId val="{00000000-EBBB-4A44-976A-494E5F5650F2}"/>
            </c:ext>
          </c:extLst>
        </c:ser>
        <c:dLbls>
          <c:showLegendKey val="0"/>
          <c:showVal val="0"/>
          <c:showCatName val="0"/>
          <c:showSerName val="0"/>
          <c:showPercent val="0"/>
          <c:showBubbleSize val="0"/>
        </c:dLbls>
        <c:axId val="118121984"/>
        <c:axId val="118123520"/>
      </c:scatterChart>
      <c:valAx>
        <c:axId val="118121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8123520"/>
        <c:crosses val="autoZero"/>
        <c:crossBetween val="midCat"/>
      </c:valAx>
      <c:valAx>
        <c:axId val="118123520"/>
        <c:scaling>
          <c:orientation val="minMax"/>
          <c:min val="1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81219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2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2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21"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21"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21"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8BFEAD8B-BD50-4212-8B88-C239D2B690F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865F359A-AF6B-4DAE-BEA3-7E664037B29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2FF2C1CF-8613-4680-AFDF-16AB5811F7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ADF197FF-A058-44CE-BC88-32BB0AD979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BB270B98-17D8-4C96-BFDF-D77B62AA6F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34AAD809-8311-4B0D-A0F0-A37E28805A2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D9A8A5C2-FCA1-4623-85AE-F466D019386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03-PROY%20ALM%20ENE\DS%20REF\MX%20TC%20Data%20Sheets%20Draft1_Ver_191127a%20SPI%20(Autoguar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Desktop/COOP%20DANESA/Catalogue/MX%20TC%20Data%20Sheets%20-%20final%20draft_revi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S"/>
      <sheetName val="Li-Ion Battery"/>
      <sheetName val="Lead acid battery"/>
      <sheetName val="Na-S Battery"/>
      <sheetName val="VR Flow Battery"/>
      <sheetName val="CAES"/>
      <sheetName val="Molten Salt"/>
      <sheetName val="Supercapacitors"/>
      <sheetName val="Flywheels"/>
    </sheetNames>
    <sheetDataSet>
      <sheetData sheetId="0" refreshError="1"/>
      <sheetData sheetId="1"/>
      <sheetData sheetId="2"/>
      <sheetData sheetId="3"/>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Pump Hydro Storage"/>
      <sheetName val="PHS - Datos revisión"/>
      <sheetName val="03 Lithium Ion Battery"/>
      <sheetName val="04 Lead-Acid Battery"/>
      <sheetName val="Lead Acid - Datos revisión."/>
      <sheetName val="05 Na-S Battery"/>
      <sheetName val="Na-S - Datos revision"/>
      <sheetName val="06 Vanadium Redox Flow Battery"/>
      <sheetName val="07 Molten Salt Storage 2f"/>
      <sheetName val="Molten Salt -Datos revisión "/>
      <sheetName val="08 CAES"/>
      <sheetName val="09 Supercapacitors"/>
      <sheetName val="Supercapacit - Datos recientes"/>
      <sheetName val="10 Flywheels"/>
      <sheetName val="Flywheels - Datos recientes"/>
      <sheetName val="VR Flow - Datos revision"/>
      <sheetName val="CAES -Datos rec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1:AD81"/>
  <sheetViews>
    <sheetView showGridLines="0" tabSelected="1" zoomScale="80" zoomScaleNormal="80" workbookViewId="0">
      <selection activeCell="T29" sqref="T29"/>
    </sheetView>
  </sheetViews>
  <sheetFormatPr baseColWidth="10" defaultColWidth="9.140625" defaultRowHeight="18" x14ac:dyDescent="0.35"/>
  <cols>
    <col min="1" max="1" width="2.5703125" style="1" customWidth="1"/>
    <col min="2" max="2" width="60" style="1" customWidth="1"/>
    <col min="3" max="9" width="10.7109375" style="1" customWidth="1"/>
    <col min="10" max="16384" width="9.140625" style="1"/>
  </cols>
  <sheetData>
    <row r="1" spans="2:30" ht="18.75" thickBot="1" x14ac:dyDescent="0.4">
      <c r="B1" s="2"/>
    </row>
    <row r="2" spans="2:30" x14ac:dyDescent="0.35">
      <c r="B2" s="109" t="s">
        <v>0</v>
      </c>
      <c r="C2" s="110" t="s">
        <v>1</v>
      </c>
      <c r="D2" s="110"/>
      <c r="E2" s="110"/>
      <c r="F2" s="110"/>
      <c r="G2" s="110"/>
      <c r="H2" s="110"/>
      <c r="I2" s="110"/>
      <c r="J2" s="110"/>
      <c r="K2" s="111"/>
      <c r="L2" s="3"/>
      <c r="M2" s="4"/>
    </row>
    <row r="3" spans="2:30" x14ac:dyDescent="0.35">
      <c r="B3" s="112"/>
      <c r="C3" s="91">
        <v>2020</v>
      </c>
      <c r="D3" s="91">
        <v>2030</v>
      </c>
      <c r="E3" s="91">
        <v>2050</v>
      </c>
      <c r="F3" s="91" t="s">
        <v>2</v>
      </c>
      <c r="G3" s="91"/>
      <c r="H3" s="86" t="s">
        <v>126</v>
      </c>
      <c r="I3" s="87"/>
      <c r="J3" s="91" t="s">
        <v>3</v>
      </c>
      <c r="K3" s="113" t="s">
        <v>4</v>
      </c>
      <c r="L3" s="83"/>
      <c r="M3" s="5"/>
    </row>
    <row r="4" spans="2:30" x14ac:dyDescent="0.35">
      <c r="B4" s="112"/>
      <c r="C4" s="91"/>
      <c r="D4" s="91"/>
      <c r="E4" s="91"/>
      <c r="F4" s="91"/>
      <c r="G4" s="91"/>
      <c r="H4" s="88"/>
      <c r="I4" s="89"/>
      <c r="J4" s="91"/>
      <c r="K4" s="113"/>
      <c r="L4" s="83"/>
      <c r="M4" s="6"/>
    </row>
    <row r="5" spans="2:30" ht="18" customHeight="1" x14ac:dyDescent="0.35">
      <c r="B5" s="114" t="s">
        <v>5</v>
      </c>
      <c r="C5" s="70"/>
      <c r="D5" s="70"/>
      <c r="E5" s="70"/>
      <c r="F5" s="71" t="s">
        <v>6</v>
      </c>
      <c r="G5" s="71" t="s">
        <v>7</v>
      </c>
      <c r="H5" s="71" t="s">
        <v>6</v>
      </c>
      <c r="I5" s="71" t="s">
        <v>7</v>
      </c>
      <c r="J5" s="70"/>
      <c r="K5" s="115"/>
      <c r="L5" s="7"/>
      <c r="M5" s="4"/>
    </row>
    <row r="6" spans="2:30" ht="18" customHeight="1" x14ac:dyDescent="0.35">
      <c r="B6" s="116" t="s">
        <v>8</v>
      </c>
      <c r="C6" s="92"/>
      <c r="D6" s="92"/>
      <c r="E6" s="92"/>
      <c r="F6" s="72"/>
      <c r="G6" s="72"/>
      <c r="H6" s="72"/>
      <c r="I6" s="72"/>
      <c r="J6" s="72"/>
      <c r="K6" s="117"/>
      <c r="L6" s="8"/>
      <c r="M6" s="4"/>
    </row>
    <row r="7" spans="2:30" ht="27.75" customHeight="1" x14ac:dyDescent="0.35">
      <c r="B7" s="116" t="s">
        <v>9</v>
      </c>
      <c r="C7" s="92" t="s">
        <v>62</v>
      </c>
      <c r="D7" s="92"/>
      <c r="E7" s="92"/>
      <c r="F7" s="72"/>
      <c r="G7" s="72"/>
      <c r="H7" s="72"/>
      <c r="I7" s="72"/>
      <c r="J7" s="72"/>
      <c r="K7" s="117"/>
      <c r="L7" s="8"/>
      <c r="M7" s="4"/>
    </row>
    <row r="8" spans="2:30" ht="18" customHeight="1" x14ac:dyDescent="0.35">
      <c r="B8" s="118" t="s">
        <v>10</v>
      </c>
      <c r="C8" s="73">
        <f xml:space="preserve"> 6650/1000</f>
        <v>6.65</v>
      </c>
      <c r="D8" s="73">
        <f xml:space="preserve"> 6650/1000</f>
        <v>6.65</v>
      </c>
      <c r="E8" s="73">
        <f>Data!G2</f>
        <v>6.65</v>
      </c>
      <c r="F8" s="73">
        <f xml:space="preserve"> 6650/1000</f>
        <v>6.65</v>
      </c>
      <c r="G8" s="73">
        <f xml:space="preserve"> 6650/1000</f>
        <v>6.65</v>
      </c>
      <c r="H8" s="73">
        <f xml:space="preserve"> 6650/1000</f>
        <v>6.65</v>
      </c>
      <c r="I8" s="73">
        <f xml:space="preserve"> 6650/1000</f>
        <v>6.65</v>
      </c>
      <c r="J8" s="72" t="s">
        <v>40</v>
      </c>
      <c r="K8" s="117" t="s">
        <v>15</v>
      </c>
      <c r="L8" s="8"/>
      <c r="M8" s="6"/>
    </row>
    <row r="9" spans="2:30" ht="18" customHeight="1" x14ac:dyDescent="0.35">
      <c r="B9" s="118" t="s">
        <v>12</v>
      </c>
      <c r="C9" s="73">
        <f xml:space="preserve"> 5000/1000</f>
        <v>5</v>
      </c>
      <c r="D9" s="73">
        <f xml:space="preserve"> 5000/1000</f>
        <v>5</v>
      </c>
      <c r="E9" s="73">
        <f>Data!G3</f>
        <v>5</v>
      </c>
      <c r="F9" s="73">
        <f t="shared" ref="F9:I10" si="0" xml:space="preserve"> 5000/1000</f>
        <v>5</v>
      </c>
      <c r="G9" s="73">
        <f t="shared" si="0"/>
        <v>5</v>
      </c>
      <c r="H9" s="73">
        <f t="shared" si="0"/>
        <v>5</v>
      </c>
      <c r="I9" s="73">
        <f t="shared" si="0"/>
        <v>5</v>
      </c>
      <c r="J9" s="72" t="s">
        <v>40</v>
      </c>
      <c r="K9" s="117" t="s">
        <v>15</v>
      </c>
      <c r="L9" s="8"/>
      <c r="M9" s="9"/>
    </row>
    <row r="10" spans="2:30" ht="18" customHeight="1" x14ac:dyDescent="0.35">
      <c r="B10" s="118" t="s">
        <v>13</v>
      </c>
      <c r="C10" s="73">
        <f xml:space="preserve"> 5000/1000</f>
        <v>5</v>
      </c>
      <c r="D10" s="73">
        <f xml:space="preserve"> 5000/1000</f>
        <v>5</v>
      </c>
      <c r="E10" s="73">
        <f>Data!G4</f>
        <v>5</v>
      </c>
      <c r="F10" s="73">
        <f t="shared" si="0"/>
        <v>5</v>
      </c>
      <c r="G10" s="73">
        <f t="shared" si="0"/>
        <v>5</v>
      </c>
      <c r="H10" s="73">
        <f t="shared" si="0"/>
        <v>5</v>
      </c>
      <c r="I10" s="73">
        <f t="shared" si="0"/>
        <v>5</v>
      </c>
      <c r="J10" s="72" t="s">
        <v>40</v>
      </c>
      <c r="K10" s="117" t="s">
        <v>15</v>
      </c>
      <c r="L10" s="8"/>
      <c r="M10" s="6"/>
    </row>
    <row r="11" spans="2:30" ht="18" customHeight="1" x14ac:dyDescent="0.35">
      <c r="B11" s="118" t="s">
        <v>14</v>
      </c>
      <c r="C11" s="74">
        <v>85</v>
      </c>
      <c r="D11" s="74">
        <v>87</v>
      </c>
      <c r="E11" s="74">
        <f>Data!G5</f>
        <v>91.405395278373746</v>
      </c>
      <c r="F11" s="74">
        <v>71</v>
      </c>
      <c r="G11" s="74">
        <v>99</v>
      </c>
      <c r="H11" s="74">
        <v>73</v>
      </c>
      <c r="I11" s="74">
        <v>99</v>
      </c>
      <c r="J11" s="72" t="s">
        <v>40</v>
      </c>
      <c r="K11" s="117" t="s">
        <v>15</v>
      </c>
      <c r="L11" s="8"/>
      <c r="M11" s="4"/>
    </row>
    <row r="12" spans="2:30" ht="18" customHeight="1" x14ac:dyDescent="0.35">
      <c r="B12" s="118" t="s">
        <v>125</v>
      </c>
      <c r="C12" s="75">
        <f t="shared" ref="C12:E12" si="1">POWER(C11/100,0.5)*100</f>
        <v>92.195444572928878</v>
      </c>
      <c r="D12" s="75">
        <f t="shared" si="1"/>
        <v>93.273790530888149</v>
      </c>
      <c r="E12" s="75">
        <f t="shared" si="1"/>
        <v>95.606168879614543</v>
      </c>
      <c r="F12" s="75">
        <f>POWER(F11/100,0.5)*100</f>
        <v>84.261497731763583</v>
      </c>
      <c r="G12" s="75">
        <f t="shared" ref="G12:I12" si="2">POWER(G11/100,0.5)*100</f>
        <v>99.498743710661998</v>
      </c>
      <c r="H12" s="75">
        <f t="shared" si="2"/>
        <v>85.440037453175307</v>
      </c>
      <c r="I12" s="75">
        <f t="shared" si="2"/>
        <v>99.498743710661998</v>
      </c>
      <c r="J12" s="72" t="s">
        <v>46</v>
      </c>
      <c r="K12" s="117"/>
      <c r="L12" s="8"/>
      <c r="M12" s="6"/>
    </row>
    <row r="13" spans="2:30" ht="18" customHeight="1" x14ac:dyDescent="0.35">
      <c r="B13" s="118" t="s">
        <v>16</v>
      </c>
      <c r="C13" s="75">
        <f>C12</f>
        <v>92.195444572928878</v>
      </c>
      <c r="D13" s="75">
        <f t="shared" ref="D13:E13" si="3">D12</f>
        <v>93.273790530888149</v>
      </c>
      <c r="E13" s="75">
        <f t="shared" si="3"/>
        <v>95.606168879614543</v>
      </c>
      <c r="F13" s="75">
        <f>F12</f>
        <v>84.261497731763583</v>
      </c>
      <c r="G13" s="75">
        <f t="shared" ref="G13:I13" si="4">G12</f>
        <v>99.498743710661998</v>
      </c>
      <c r="H13" s="75">
        <f t="shared" si="4"/>
        <v>85.440037453175307</v>
      </c>
      <c r="I13" s="75">
        <f t="shared" si="4"/>
        <v>99.498743710661998</v>
      </c>
      <c r="J13" s="72" t="s">
        <v>46</v>
      </c>
      <c r="K13" s="117"/>
      <c r="L13" s="8"/>
      <c r="M13" s="6"/>
    </row>
    <row r="14" spans="2:30" ht="18" customHeight="1" x14ac:dyDescent="0.35">
      <c r="B14" s="118" t="s">
        <v>17</v>
      </c>
      <c r="C14" s="74">
        <v>53.117568599999998</v>
      </c>
      <c r="D14" s="74">
        <v>39.170176647636445</v>
      </c>
      <c r="E14" s="74">
        <f>Data!G8</f>
        <v>21.144361219252286</v>
      </c>
      <c r="F14" s="74">
        <v>15.674867188753923</v>
      </c>
      <c r="G14" s="74">
        <v>78.374335943769609</v>
      </c>
      <c r="H14" s="74">
        <v>8.5239041033724661</v>
      </c>
      <c r="I14" s="74">
        <v>42.619520516862316</v>
      </c>
      <c r="J14" s="72"/>
      <c r="K14" s="117" t="s">
        <v>31</v>
      </c>
      <c r="L14" s="8"/>
      <c r="M14" s="4"/>
      <c r="P14" s="8"/>
      <c r="Q14" s="10"/>
      <c r="R14" s="11"/>
      <c r="S14" s="11"/>
      <c r="T14" s="11"/>
      <c r="U14" s="11"/>
      <c r="V14" s="11"/>
      <c r="W14" s="11"/>
      <c r="X14" s="11"/>
      <c r="Y14" s="11"/>
      <c r="Z14" s="11"/>
      <c r="AA14" s="11"/>
      <c r="AB14" s="11"/>
      <c r="AC14" s="11"/>
      <c r="AD14" s="12"/>
    </row>
    <row r="15" spans="2:30" ht="18" customHeight="1" x14ac:dyDescent="0.35">
      <c r="B15" s="118" t="s">
        <v>18</v>
      </c>
      <c r="C15" s="72">
        <v>0</v>
      </c>
      <c r="D15" s="72"/>
      <c r="E15" s="72"/>
      <c r="F15" s="72"/>
      <c r="G15" s="72"/>
      <c r="H15" s="72"/>
      <c r="I15" s="72"/>
      <c r="J15" s="72"/>
      <c r="K15" s="117" t="s">
        <v>11</v>
      </c>
      <c r="L15" s="8"/>
      <c r="M15" s="4"/>
      <c r="P15" s="8"/>
      <c r="Q15" s="10"/>
      <c r="R15" s="13"/>
      <c r="S15" s="13"/>
      <c r="T15" s="13"/>
      <c r="U15" s="13"/>
      <c r="V15" s="13"/>
      <c r="W15" s="13"/>
      <c r="X15" s="13"/>
      <c r="Y15" s="13"/>
      <c r="Z15" s="13"/>
      <c r="AA15" s="13"/>
      <c r="AB15" s="13"/>
      <c r="AC15" s="13"/>
      <c r="AD15" s="14"/>
    </row>
    <row r="16" spans="2:30" ht="18" customHeight="1" x14ac:dyDescent="0.35">
      <c r="B16" s="118" t="s">
        <v>19</v>
      </c>
      <c r="C16" s="72">
        <v>0</v>
      </c>
      <c r="D16" s="72"/>
      <c r="E16" s="72"/>
      <c r="F16" s="72"/>
      <c r="G16" s="72"/>
      <c r="H16" s="72"/>
      <c r="I16" s="72"/>
      <c r="J16" s="72"/>
      <c r="K16" s="117" t="s">
        <v>11</v>
      </c>
      <c r="L16" s="8"/>
      <c r="M16" s="4"/>
      <c r="P16" s="8"/>
      <c r="Q16" s="4"/>
    </row>
    <row r="17" spans="2:30" ht="18" customHeight="1" x14ac:dyDescent="0.35">
      <c r="B17" s="118" t="s">
        <v>20</v>
      </c>
      <c r="C17" s="74">
        <v>22</v>
      </c>
      <c r="D17" s="74">
        <v>30.251794497102214</v>
      </c>
      <c r="E17" s="74">
        <f>Data!G11</f>
        <v>54.729024547058621</v>
      </c>
      <c r="F17" s="74">
        <v>17</v>
      </c>
      <c r="G17" s="74">
        <v>28</v>
      </c>
      <c r="H17" s="74">
        <v>23</v>
      </c>
      <c r="I17" s="74">
        <v>38</v>
      </c>
      <c r="J17" s="72"/>
      <c r="K17" s="117" t="s">
        <v>15</v>
      </c>
      <c r="L17" s="8"/>
      <c r="M17" s="4"/>
      <c r="P17" s="8"/>
      <c r="Q17" s="4"/>
    </row>
    <row r="18" spans="2:30" ht="18" customHeight="1" x14ac:dyDescent="0.35">
      <c r="B18" s="118" t="s">
        <v>21</v>
      </c>
      <c r="C18" s="76">
        <v>0.25</v>
      </c>
      <c r="D18" s="72">
        <f>Data!F12</f>
        <v>0.25</v>
      </c>
      <c r="E18" s="77">
        <f>Data!G12</f>
        <v>0.25</v>
      </c>
      <c r="F18" s="76">
        <v>0.25</v>
      </c>
      <c r="G18" s="76">
        <v>0.25</v>
      </c>
      <c r="H18" s="76">
        <v>0.25</v>
      </c>
      <c r="I18" s="76">
        <v>0.25</v>
      </c>
      <c r="J18" s="72"/>
      <c r="K18" s="117" t="s">
        <v>11</v>
      </c>
      <c r="L18" s="8"/>
      <c r="M18" s="4"/>
      <c r="P18" s="82"/>
      <c r="Q18" s="82"/>
    </row>
    <row r="19" spans="2:30" ht="18" customHeight="1" x14ac:dyDescent="0.35">
      <c r="B19" s="119" t="s">
        <v>22</v>
      </c>
      <c r="C19" s="85"/>
      <c r="D19" s="85"/>
      <c r="E19" s="85"/>
      <c r="F19" s="85"/>
      <c r="G19" s="85"/>
      <c r="H19" s="85"/>
      <c r="I19" s="85"/>
      <c r="J19" s="85"/>
      <c r="K19" s="120"/>
      <c r="L19" s="83"/>
      <c r="M19" s="83"/>
      <c r="P19" s="8"/>
      <c r="Q19" s="10"/>
      <c r="R19" s="13"/>
      <c r="S19" s="13"/>
      <c r="T19" s="13"/>
      <c r="U19" s="13"/>
      <c r="V19" s="13"/>
      <c r="W19" s="13"/>
      <c r="X19" s="13"/>
      <c r="Y19" s="13"/>
      <c r="Z19" s="13"/>
      <c r="AA19" s="13"/>
      <c r="AB19" s="13"/>
      <c r="AC19" s="13"/>
      <c r="AD19" s="14"/>
    </row>
    <row r="20" spans="2:30" ht="18" customHeight="1" x14ac:dyDescent="0.35">
      <c r="B20" s="118" t="s">
        <v>23</v>
      </c>
      <c r="C20" s="72">
        <v>1E-3</v>
      </c>
      <c r="D20" s="72">
        <f>Data!F13</f>
        <v>1E-3</v>
      </c>
      <c r="E20" s="78">
        <f>Data!G13</f>
        <v>1E-3</v>
      </c>
      <c r="F20" s="78">
        <v>1E-3</v>
      </c>
      <c r="G20" s="78">
        <v>1E-3</v>
      </c>
      <c r="H20" s="78">
        <v>1E-3</v>
      </c>
      <c r="I20" s="78">
        <v>1E-3</v>
      </c>
      <c r="J20" s="72"/>
      <c r="K20" s="117" t="s">
        <v>31</v>
      </c>
      <c r="L20" s="84"/>
      <c r="M20" s="4"/>
      <c r="P20" s="8"/>
      <c r="Q20" s="10"/>
      <c r="R20" s="13"/>
      <c r="S20" s="13"/>
      <c r="T20" s="13"/>
      <c r="U20" s="13"/>
      <c r="V20" s="13"/>
      <c r="W20" s="13"/>
      <c r="X20" s="13"/>
      <c r="Y20" s="13"/>
      <c r="Z20" s="13"/>
      <c r="AA20" s="13"/>
      <c r="AB20" s="13"/>
      <c r="AC20" s="13"/>
      <c r="AD20" s="14"/>
    </row>
    <row r="21" spans="2:30" ht="18" customHeight="1" x14ac:dyDescent="0.35">
      <c r="B21" s="118" t="s">
        <v>24</v>
      </c>
      <c r="C21" s="72">
        <v>1E-3</v>
      </c>
      <c r="D21" s="72">
        <v>1E-3</v>
      </c>
      <c r="E21" s="72">
        <v>1E-3</v>
      </c>
      <c r="F21" s="72">
        <v>1E-3</v>
      </c>
      <c r="G21" s="72">
        <v>1E-3</v>
      </c>
      <c r="H21" s="72">
        <v>1E-3</v>
      </c>
      <c r="I21" s="72">
        <v>1E-3</v>
      </c>
      <c r="J21" s="72"/>
      <c r="K21" s="117"/>
      <c r="L21" s="84"/>
      <c r="M21" s="6"/>
    </row>
    <row r="22" spans="2:30" ht="18" customHeight="1" x14ac:dyDescent="0.35">
      <c r="B22" s="119" t="s">
        <v>25</v>
      </c>
      <c r="C22" s="85"/>
      <c r="D22" s="85"/>
      <c r="E22" s="85"/>
      <c r="F22" s="85"/>
      <c r="G22" s="85"/>
      <c r="H22" s="85"/>
      <c r="I22" s="85"/>
      <c r="J22" s="85"/>
      <c r="K22" s="120"/>
      <c r="L22" s="82"/>
      <c r="M22" s="82"/>
    </row>
    <row r="23" spans="2:30" ht="18" customHeight="1" x14ac:dyDescent="0.35">
      <c r="B23" s="121" t="s">
        <v>58</v>
      </c>
      <c r="C23" s="77">
        <f t="shared" ref="C23:I23" si="5">((C24)*C8+C25*C9)/C8</f>
        <v>2.8555685375187969</v>
      </c>
      <c r="D23" s="77">
        <f t="shared" si="5"/>
        <v>2.105765135568423</v>
      </c>
      <c r="E23" s="77">
        <f t="shared" si="5"/>
        <v>1.1437803589534599</v>
      </c>
      <c r="F23" s="77">
        <f t="shared" si="5"/>
        <v>1.5376138278947369</v>
      </c>
      <c r="G23" s="77">
        <f t="shared" si="5"/>
        <v>6.0106722363157896</v>
      </c>
      <c r="H23" s="77">
        <f t="shared" si="5"/>
        <v>1.133873534536844</v>
      </c>
      <c r="I23" s="77">
        <f t="shared" si="5"/>
        <v>4.4324147259167521</v>
      </c>
      <c r="J23" s="78" t="s">
        <v>47</v>
      </c>
      <c r="K23" s="117" t="s">
        <v>15</v>
      </c>
    </row>
    <row r="24" spans="2:30" ht="18" customHeight="1" x14ac:dyDescent="0.35">
      <c r="B24" s="118" t="s">
        <v>172</v>
      </c>
      <c r="C24" s="77">
        <f>2655.87843/1000</f>
        <v>2.65587843</v>
      </c>
      <c r="D24" s="77">
        <f>1958.50883238182/1000</f>
        <v>1.9585088323818201</v>
      </c>
      <c r="E24" s="77">
        <f>Data!G16</f>
        <v>1.064353538757961</v>
      </c>
      <c r="F24" s="77">
        <f>1327.939215/1000</f>
        <v>1.327939215</v>
      </c>
      <c r="G24" s="77">
        <f>5311.75686/1000</f>
        <v>5.31175686</v>
      </c>
      <c r="H24" s="77">
        <f>979.254416190911/1000</f>
        <v>0.97925441619091103</v>
      </c>
      <c r="I24" s="77">
        <f>3917.01766476364/1000</f>
        <v>3.9170176647636401</v>
      </c>
      <c r="J24" s="78" t="s">
        <v>50</v>
      </c>
      <c r="K24" s="117" t="s">
        <v>15</v>
      </c>
    </row>
    <row r="25" spans="2:30" ht="18" customHeight="1" x14ac:dyDescent="0.35">
      <c r="B25" s="118" t="s">
        <v>59</v>
      </c>
      <c r="C25" s="77">
        <f>265.587843/1000</f>
        <v>0.26558784300000005</v>
      </c>
      <c r="D25" s="77">
        <f>195.850883238182/1000</f>
        <v>0.19585088323818201</v>
      </c>
      <c r="E25" s="77">
        <f>Data!G17</f>
        <v>0.10563767086001355</v>
      </c>
      <c r="F25" s="77">
        <f>278.86723515/1000</f>
        <v>0.27886723515</v>
      </c>
      <c r="G25" s="77">
        <f>929.5574505/1000</f>
        <v>0.92955745049999994</v>
      </c>
      <c r="H25" s="77">
        <f>205.643427400091/1000</f>
        <v>0.20564342740009101</v>
      </c>
      <c r="I25" s="77">
        <f>685.478091333638/1000</f>
        <v>0.68547809133363802</v>
      </c>
      <c r="J25" s="78" t="s">
        <v>52</v>
      </c>
      <c r="K25" s="117" t="s">
        <v>15</v>
      </c>
    </row>
    <row r="26" spans="2:30" ht="18" customHeight="1" x14ac:dyDescent="0.35">
      <c r="B26" s="121" t="s">
        <v>73</v>
      </c>
      <c r="C26" s="73">
        <v>5.7720000000000011</v>
      </c>
      <c r="D26" s="73">
        <v>5.7720000000000011</v>
      </c>
      <c r="E26" s="73">
        <v>5.7720000000000011</v>
      </c>
      <c r="F26" s="79">
        <f>4.3*1.11</f>
        <v>4.7730000000000006</v>
      </c>
      <c r="G26" s="79">
        <f>6.66</f>
        <v>6.66</v>
      </c>
      <c r="H26" s="79">
        <f>4.3*1.11</f>
        <v>4.7730000000000006</v>
      </c>
      <c r="I26" s="79">
        <f>6.66</f>
        <v>6.66</v>
      </c>
      <c r="J26" s="78"/>
      <c r="K26" s="117" t="s">
        <v>60</v>
      </c>
    </row>
    <row r="27" spans="2:30" ht="18" customHeight="1" x14ac:dyDescent="0.35">
      <c r="B27" s="121" t="s">
        <v>61</v>
      </c>
      <c r="C27" s="77">
        <v>2.2000000000000002</v>
      </c>
      <c r="D27" s="77">
        <v>2.2000000000000002</v>
      </c>
      <c r="E27" s="77">
        <v>2.2000000000000002</v>
      </c>
      <c r="F27" s="77">
        <v>0.22</v>
      </c>
      <c r="G27" s="77">
        <v>4.18</v>
      </c>
      <c r="H27" s="80">
        <f>F27</f>
        <v>0.22</v>
      </c>
      <c r="I27" s="80">
        <f>G27</f>
        <v>4.18</v>
      </c>
      <c r="J27" s="76"/>
      <c r="K27" s="117" t="s">
        <v>60</v>
      </c>
    </row>
    <row r="28" spans="2:30" ht="18" customHeight="1" x14ac:dyDescent="0.35">
      <c r="B28" s="122" t="s">
        <v>26</v>
      </c>
      <c r="C28" s="90"/>
      <c r="D28" s="90"/>
      <c r="E28" s="90"/>
      <c r="F28" s="90"/>
      <c r="G28" s="90"/>
      <c r="H28" s="90"/>
      <c r="I28" s="90"/>
      <c r="J28" s="90"/>
      <c r="K28" s="123"/>
    </row>
    <row r="29" spans="2:30" ht="18" customHeight="1" x14ac:dyDescent="0.35">
      <c r="B29" s="121" t="s">
        <v>37</v>
      </c>
      <c r="C29" s="77">
        <f t="shared" ref="C29:I29" si="6">(C24*C8+C25*C9)/C9</f>
        <v>3.7979061549000002</v>
      </c>
      <c r="D29" s="77">
        <f t="shared" si="6"/>
        <v>2.8006676303060027</v>
      </c>
      <c r="E29" s="77">
        <f t="shared" si="6"/>
        <v>1.5212278774081018</v>
      </c>
      <c r="F29" s="77">
        <f t="shared" si="6"/>
        <v>2.0450263911</v>
      </c>
      <c r="G29" s="77">
        <f t="shared" si="6"/>
        <v>7.9941940743000002</v>
      </c>
      <c r="H29" s="77">
        <f t="shared" si="6"/>
        <v>1.5080518009340027</v>
      </c>
      <c r="I29" s="77">
        <f t="shared" si="6"/>
        <v>5.8951115854692802</v>
      </c>
      <c r="J29" s="76"/>
      <c r="K29" s="117" t="s">
        <v>15</v>
      </c>
    </row>
    <row r="30" spans="2:30" ht="18" customHeight="1" x14ac:dyDescent="0.35">
      <c r="B30" s="121" t="s">
        <v>28</v>
      </c>
      <c r="C30" s="81">
        <v>225000</v>
      </c>
      <c r="D30" s="81">
        <v>300000</v>
      </c>
      <c r="E30" s="81">
        <v>550000</v>
      </c>
      <c r="F30" s="81">
        <v>112500</v>
      </c>
      <c r="G30" s="81">
        <v>1125500</v>
      </c>
      <c r="H30" s="81">
        <v>151000</v>
      </c>
      <c r="I30" s="81">
        <v>1512500</v>
      </c>
      <c r="J30" s="76"/>
      <c r="K30" s="117" t="s">
        <v>15</v>
      </c>
      <c r="M30" s="6"/>
    </row>
    <row r="31" spans="2:30" ht="18" customHeight="1" x14ac:dyDescent="0.35">
      <c r="B31" s="121" t="s">
        <v>29</v>
      </c>
      <c r="C31" s="76">
        <v>950</v>
      </c>
      <c r="D31" s="76">
        <v>950</v>
      </c>
      <c r="E31" s="76">
        <v>950</v>
      </c>
      <c r="F31" s="74">
        <f>$C$31+($C$31*Uncertanties!K3)</f>
        <v>814.28571428571433</v>
      </c>
      <c r="G31" s="74">
        <f>$C$31+($C$31*Uncertanties!L3)</f>
        <v>1085.7142857142858</v>
      </c>
      <c r="H31" s="74">
        <f>$D$31+($D$31*Uncertanties!M3)</f>
        <v>859.70724999999936</v>
      </c>
      <c r="I31" s="74">
        <f>$D$31+($D$31*Uncertanties!N3)</f>
        <v>1083</v>
      </c>
      <c r="J31" s="76" t="s">
        <v>54</v>
      </c>
      <c r="K31" s="124" t="s">
        <v>74</v>
      </c>
      <c r="L31" s="84"/>
    </row>
    <row r="32" spans="2:30" ht="18" customHeight="1" x14ac:dyDescent="0.35">
      <c r="B32" s="121" t="s">
        <v>63</v>
      </c>
      <c r="C32" s="76">
        <v>1500</v>
      </c>
      <c r="D32" s="76">
        <v>1500</v>
      </c>
      <c r="E32" s="76">
        <v>1500</v>
      </c>
      <c r="F32" s="74">
        <f>$C32+($C32*Uncertanties!K4)</f>
        <v>1300</v>
      </c>
      <c r="G32" s="74">
        <f>$C32+($C32*Uncertanties!L4)</f>
        <v>2000</v>
      </c>
      <c r="H32" s="74">
        <f>$C32+($C32*Uncertanties!M4)</f>
        <v>1300</v>
      </c>
      <c r="I32" s="74">
        <f>$C32+($C32*Uncertanties!N4)</f>
        <v>2000</v>
      </c>
      <c r="J32" s="76" t="s">
        <v>54</v>
      </c>
      <c r="K32" s="124" t="s">
        <v>74</v>
      </c>
      <c r="L32" s="84"/>
    </row>
    <row r="33" spans="2:12" ht="18" customHeight="1" x14ac:dyDescent="0.35">
      <c r="B33" s="121" t="s">
        <v>27</v>
      </c>
      <c r="C33" s="76">
        <v>15</v>
      </c>
      <c r="D33" s="76">
        <v>15</v>
      </c>
      <c r="E33" s="76">
        <v>15</v>
      </c>
      <c r="F33" s="74">
        <f>$C33+($C33*Uncertanties!K3)</f>
        <v>12.857142857142858</v>
      </c>
      <c r="G33" s="74">
        <f>$C33+($C33*Uncertanties!L3)</f>
        <v>17.142857142857142</v>
      </c>
      <c r="H33" s="74">
        <f>$C33+($C33*Uncertanties!M3)</f>
        <v>13.574324999999989</v>
      </c>
      <c r="I33" s="74">
        <f>$C33+($C33*Uncertanties!N3)</f>
        <v>17.100000000000001</v>
      </c>
      <c r="J33" s="76" t="s">
        <v>54</v>
      </c>
      <c r="K33" s="124" t="s">
        <v>74</v>
      </c>
      <c r="L33" s="84"/>
    </row>
    <row r="34" spans="2:12" ht="18" customHeight="1" thickBot="1" x14ac:dyDescent="0.4">
      <c r="B34" s="125" t="s">
        <v>64</v>
      </c>
      <c r="C34" s="126">
        <v>50</v>
      </c>
      <c r="D34" s="126">
        <v>50</v>
      </c>
      <c r="E34" s="126">
        <v>50</v>
      </c>
      <c r="F34" s="127">
        <f>$C$34+($C$34*Uncertanties!K4)</f>
        <v>43.333333333333336</v>
      </c>
      <c r="G34" s="127">
        <f>$C$34+($C$34*Uncertanties!L4)</f>
        <v>66.666666666666657</v>
      </c>
      <c r="H34" s="127">
        <f>F34</f>
        <v>43.333333333333336</v>
      </c>
      <c r="I34" s="127">
        <f>G34</f>
        <v>66.666666666666657</v>
      </c>
      <c r="J34" s="126" t="s">
        <v>54</v>
      </c>
      <c r="K34" s="128" t="s">
        <v>74</v>
      </c>
      <c r="L34" s="84"/>
    </row>
    <row r="37" spans="2:12" x14ac:dyDescent="0.35">
      <c r="B37" s="15" t="s">
        <v>32</v>
      </c>
    </row>
    <row r="38" spans="2:12" x14ac:dyDescent="0.35">
      <c r="B38" s="16" t="s">
        <v>40</v>
      </c>
      <c r="C38" s="1" t="s">
        <v>45</v>
      </c>
    </row>
    <row r="39" spans="2:12" x14ac:dyDescent="0.35">
      <c r="B39" s="16" t="s">
        <v>46</v>
      </c>
      <c r="C39" s="1" t="s">
        <v>41</v>
      </c>
    </row>
    <row r="40" spans="2:12" x14ac:dyDescent="0.35">
      <c r="B40" s="16" t="s">
        <v>48</v>
      </c>
      <c r="C40" s="1" t="s">
        <v>49</v>
      </c>
    </row>
    <row r="41" spans="2:12" x14ac:dyDescent="0.35">
      <c r="B41" s="16" t="s">
        <v>51</v>
      </c>
      <c r="C41" s="1" t="s">
        <v>38</v>
      </c>
    </row>
    <row r="42" spans="2:12" x14ac:dyDescent="0.35">
      <c r="B42" s="16" t="s">
        <v>53</v>
      </c>
      <c r="C42" s="1" t="s">
        <v>39</v>
      </c>
    </row>
    <row r="43" spans="2:12" x14ac:dyDescent="0.35">
      <c r="B43" s="16" t="s">
        <v>54</v>
      </c>
      <c r="C43" s="1" t="s">
        <v>75</v>
      </c>
    </row>
    <row r="46" spans="2:12" x14ac:dyDescent="0.35">
      <c r="B46" s="15" t="s">
        <v>33</v>
      </c>
    </row>
    <row r="47" spans="2:12" x14ac:dyDescent="0.35">
      <c r="B47" s="16" t="s">
        <v>15</v>
      </c>
      <c r="C47" s="1" t="s">
        <v>36</v>
      </c>
    </row>
    <row r="48" spans="2:12" x14ac:dyDescent="0.35">
      <c r="B48" s="16" t="s">
        <v>11</v>
      </c>
      <c r="C48" s="17" t="s">
        <v>44</v>
      </c>
    </row>
    <row r="49" spans="2:3" x14ac:dyDescent="0.35">
      <c r="B49" s="16" t="s">
        <v>30</v>
      </c>
      <c r="C49" s="17" t="s">
        <v>34</v>
      </c>
    </row>
    <row r="50" spans="2:3" x14ac:dyDescent="0.35">
      <c r="B50" s="16" t="s">
        <v>31</v>
      </c>
      <c r="C50" s="17" t="s">
        <v>35</v>
      </c>
    </row>
    <row r="51" spans="2:3" x14ac:dyDescent="0.35">
      <c r="B51" s="16" t="s">
        <v>43</v>
      </c>
      <c r="C51" s="18" t="s">
        <v>42</v>
      </c>
    </row>
    <row r="52" spans="2:3" ht="18.75" x14ac:dyDescent="0.35">
      <c r="B52" s="16" t="s">
        <v>60</v>
      </c>
      <c r="C52" s="19" t="s">
        <v>101</v>
      </c>
    </row>
    <row r="53" spans="2:3" x14ac:dyDescent="0.35">
      <c r="B53" s="20"/>
    </row>
    <row r="54" spans="2:3" x14ac:dyDescent="0.35">
      <c r="B54" s="20"/>
    </row>
    <row r="55" spans="2:3" x14ac:dyDescent="0.35">
      <c r="B55" s="20"/>
    </row>
    <row r="56" spans="2:3" x14ac:dyDescent="0.35">
      <c r="B56" s="20"/>
    </row>
    <row r="57" spans="2:3" x14ac:dyDescent="0.35">
      <c r="B57" s="20"/>
    </row>
    <row r="58" spans="2:3" x14ac:dyDescent="0.35">
      <c r="B58" s="20"/>
    </row>
    <row r="59" spans="2:3" x14ac:dyDescent="0.35">
      <c r="B59" s="20"/>
    </row>
    <row r="60" spans="2:3" x14ac:dyDescent="0.35">
      <c r="B60" s="20"/>
    </row>
    <row r="61" spans="2:3" x14ac:dyDescent="0.35">
      <c r="B61" s="20"/>
    </row>
    <row r="62" spans="2:3" x14ac:dyDescent="0.35">
      <c r="B62" s="20"/>
    </row>
    <row r="63" spans="2:3" x14ac:dyDescent="0.35">
      <c r="B63" s="20"/>
    </row>
    <row r="64" spans="2:3" x14ac:dyDescent="0.35">
      <c r="B64" s="20"/>
    </row>
    <row r="65" spans="2:2" x14ac:dyDescent="0.35">
      <c r="B65" s="20"/>
    </row>
    <row r="66" spans="2:2" x14ac:dyDescent="0.35">
      <c r="B66" s="20"/>
    </row>
    <row r="67" spans="2:2" x14ac:dyDescent="0.35">
      <c r="B67" s="20"/>
    </row>
    <row r="68" spans="2:2" x14ac:dyDescent="0.35">
      <c r="B68" s="20"/>
    </row>
    <row r="69" spans="2:2" x14ac:dyDescent="0.35">
      <c r="B69" s="20"/>
    </row>
    <row r="70" spans="2:2" x14ac:dyDescent="0.35">
      <c r="B70" s="20"/>
    </row>
    <row r="71" spans="2:2" x14ac:dyDescent="0.35">
      <c r="B71" s="20"/>
    </row>
    <row r="72" spans="2:2" x14ac:dyDescent="0.35">
      <c r="B72" s="20"/>
    </row>
    <row r="73" spans="2:2" x14ac:dyDescent="0.35">
      <c r="B73" s="20"/>
    </row>
    <row r="74" spans="2:2" x14ac:dyDescent="0.35">
      <c r="B74" s="20"/>
    </row>
    <row r="75" spans="2:2" x14ac:dyDescent="0.35">
      <c r="B75" s="20"/>
    </row>
    <row r="76" spans="2:2" x14ac:dyDescent="0.35">
      <c r="B76" s="20"/>
    </row>
    <row r="77" spans="2:2" x14ac:dyDescent="0.35">
      <c r="B77" s="20"/>
    </row>
    <row r="78" spans="2:2" x14ac:dyDescent="0.35">
      <c r="B78" s="20"/>
    </row>
    <row r="79" spans="2:2" x14ac:dyDescent="0.35">
      <c r="B79" s="21"/>
    </row>
    <row r="80" spans="2:2" ht="21.75" x14ac:dyDescent="0.35">
      <c r="B80" s="22"/>
    </row>
    <row r="81" spans="2:2" x14ac:dyDescent="0.35">
      <c r="B81" s="6"/>
    </row>
  </sheetData>
  <mergeCells count="21">
    <mergeCell ref="H3:I4"/>
    <mergeCell ref="B28:K28"/>
    <mergeCell ref="L31:L32"/>
    <mergeCell ref="L33:L34"/>
    <mergeCell ref="C2:K2"/>
    <mergeCell ref="B3:B4"/>
    <mergeCell ref="C3:C4"/>
    <mergeCell ref="D3:D4"/>
    <mergeCell ref="E3:E4"/>
    <mergeCell ref="F3:G4"/>
    <mergeCell ref="J3:J4"/>
    <mergeCell ref="K3:K4"/>
    <mergeCell ref="L3:L4"/>
    <mergeCell ref="C6:E6"/>
    <mergeCell ref="C7:E7"/>
    <mergeCell ref="P18:Q18"/>
    <mergeCell ref="L19:M19"/>
    <mergeCell ref="L20:L21"/>
    <mergeCell ref="B22:K22"/>
    <mergeCell ref="L22:M22"/>
    <mergeCell ref="B19:K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zoomScaleNormal="100" workbookViewId="0">
      <pane xSplit="1" ySplit="1" topLeftCell="D2" activePane="bottomRight" state="frozen"/>
      <selection pane="topRight" activeCell="B1" sqref="B1"/>
      <selection pane="bottomLeft" activeCell="A2" sqref="A2"/>
      <selection pane="bottomRight" activeCell="H1" sqref="H1:H1048576"/>
    </sheetView>
  </sheetViews>
  <sheetFormatPr baseColWidth="10" defaultColWidth="11.42578125" defaultRowHeight="18" x14ac:dyDescent="0.25"/>
  <cols>
    <col min="1" max="1" width="59.85546875" style="42" customWidth="1"/>
    <col min="2" max="2" width="8.85546875" style="43" customWidth="1"/>
    <col min="3" max="7" width="11" style="23" customWidth="1"/>
    <col min="8" max="8" width="12.7109375" style="23" customWidth="1"/>
    <col min="9" max="9" width="64.42578125" style="54" customWidth="1"/>
    <col min="10" max="16384" width="11.42578125" style="23"/>
  </cols>
  <sheetData>
    <row r="1" spans="1:9" ht="36" x14ac:dyDescent="0.25">
      <c r="A1" s="42" t="s">
        <v>55</v>
      </c>
      <c r="B1" s="43" t="s">
        <v>76</v>
      </c>
      <c r="C1" s="43">
        <v>2016</v>
      </c>
      <c r="D1" s="43">
        <v>2020</v>
      </c>
      <c r="E1" s="43">
        <v>2025</v>
      </c>
      <c r="F1" s="43">
        <v>2030</v>
      </c>
      <c r="G1" s="43">
        <v>2050</v>
      </c>
      <c r="H1" s="43" t="s">
        <v>56</v>
      </c>
      <c r="I1" s="42" t="s">
        <v>160</v>
      </c>
    </row>
    <row r="2" spans="1:9" ht="30" customHeight="1" x14ac:dyDescent="0.25">
      <c r="A2" s="26" t="s">
        <v>102</v>
      </c>
      <c r="B2" s="44" t="s">
        <v>77</v>
      </c>
      <c r="C2" s="23">
        <v>6.65</v>
      </c>
      <c r="D2" s="23">
        <v>6.65</v>
      </c>
      <c r="E2" s="23">
        <v>6.65</v>
      </c>
      <c r="F2" s="23">
        <v>6.65</v>
      </c>
      <c r="G2" s="23">
        <v>6.65</v>
      </c>
      <c r="H2" s="93" t="s">
        <v>15</v>
      </c>
      <c r="I2" s="94" t="s">
        <v>123</v>
      </c>
    </row>
    <row r="3" spans="1:9" ht="30" customHeight="1" x14ac:dyDescent="0.25">
      <c r="A3" s="26" t="s">
        <v>103</v>
      </c>
      <c r="B3" s="44" t="s">
        <v>78</v>
      </c>
      <c r="C3" s="23">
        <v>5</v>
      </c>
      <c r="D3" s="23">
        <v>5</v>
      </c>
      <c r="E3" s="23">
        <v>5</v>
      </c>
      <c r="F3" s="23">
        <v>5</v>
      </c>
      <c r="G3" s="23">
        <v>5</v>
      </c>
      <c r="H3" s="93"/>
      <c r="I3" s="94"/>
    </row>
    <row r="4" spans="1:9" ht="30" customHeight="1" x14ac:dyDescent="0.25">
      <c r="A4" s="26" t="s">
        <v>104</v>
      </c>
      <c r="B4" s="44" t="s">
        <v>79</v>
      </c>
      <c r="C4" s="23">
        <v>5</v>
      </c>
      <c r="D4" s="23">
        <v>5</v>
      </c>
      <c r="E4" s="23">
        <v>5</v>
      </c>
      <c r="F4" s="23">
        <v>5</v>
      </c>
      <c r="G4" s="23">
        <v>5</v>
      </c>
      <c r="H4" s="93"/>
      <c r="I4" s="94"/>
    </row>
    <row r="5" spans="1:9" ht="66.2" customHeight="1" x14ac:dyDescent="0.25">
      <c r="A5" s="26" t="s">
        <v>105</v>
      </c>
      <c r="B5" s="44" t="s">
        <v>80</v>
      </c>
      <c r="C5" s="23">
        <v>84</v>
      </c>
      <c r="D5" s="23">
        <v>85</v>
      </c>
      <c r="E5" s="23">
        <v>86</v>
      </c>
      <c r="F5" s="23">
        <v>87</v>
      </c>
      <c r="G5" s="45">
        <f>0.565104*EXP(0.002481*G1)</f>
        <v>91.405395278373746</v>
      </c>
      <c r="H5" s="93"/>
      <c r="I5" s="27" t="s">
        <v>157</v>
      </c>
    </row>
    <row r="6" spans="1:9" ht="50.1" customHeight="1" x14ac:dyDescent="0.25">
      <c r="A6" s="26" t="s">
        <v>106</v>
      </c>
      <c r="B6" s="44" t="s">
        <v>81</v>
      </c>
      <c r="C6" s="46">
        <f>POWER(C5/100,0.5)*100</f>
        <v>91.651513899116793</v>
      </c>
      <c r="D6" s="46">
        <f t="shared" ref="D6:G6" si="0">POWER(D5/100,0.5)*100</f>
        <v>92.195444572928878</v>
      </c>
      <c r="E6" s="46">
        <f t="shared" si="0"/>
        <v>92.736184954957039</v>
      </c>
      <c r="F6" s="46">
        <f t="shared" si="0"/>
        <v>93.273790530888149</v>
      </c>
      <c r="G6" s="46">
        <f t="shared" si="0"/>
        <v>95.606168879614543</v>
      </c>
      <c r="H6" s="47"/>
      <c r="I6" s="94" t="s">
        <v>158</v>
      </c>
    </row>
    <row r="7" spans="1:9" ht="55.5" customHeight="1" x14ac:dyDescent="0.25">
      <c r="A7" s="26" t="s">
        <v>107</v>
      </c>
      <c r="B7" s="44" t="s">
        <v>82</v>
      </c>
      <c r="C7" s="46">
        <f>C6</f>
        <v>91.651513899116793</v>
      </c>
      <c r="D7" s="46">
        <f t="shared" ref="D7:G7" si="1">D6</f>
        <v>92.195444572928878</v>
      </c>
      <c r="E7" s="46">
        <f t="shared" si="1"/>
        <v>92.736184954957039</v>
      </c>
      <c r="F7" s="46">
        <f t="shared" si="1"/>
        <v>93.273790530888149</v>
      </c>
      <c r="G7" s="46">
        <f t="shared" si="1"/>
        <v>95.606168879614543</v>
      </c>
      <c r="H7" s="47"/>
      <c r="I7" s="94"/>
    </row>
    <row r="8" spans="1:9" ht="66" customHeight="1" x14ac:dyDescent="0.25">
      <c r="A8" s="26" t="s">
        <v>108</v>
      </c>
      <c r="B8" s="44" t="s">
        <v>83</v>
      </c>
      <c r="C8" s="23">
        <v>60</v>
      </c>
      <c r="D8" s="23">
        <v>53</v>
      </c>
      <c r="E8" s="23">
        <v>45.6</v>
      </c>
      <c r="F8" s="23">
        <v>39</v>
      </c>
      <c r="G8" s="45">
        <f>4.49848492653543E+28*EXP(-0.030695*G1)</f>
        <v>21.144361219252286</v>
      </c>
      <c r="H8" s="47" t="s">
        <v>15</v>
      </c>
      <c r="I8" s="27" t="s">
        <v>130</v>
      </c>
    </row>
    <row r="9" spans="1:9" x14ac:dyDescent="0.25">
      <c r="A9" s="26" t="s">
        <v>109</v>
      </c>
      <c r="B9" s="44" t="s">
        <v>84</v>
      </c>
      <c r="C9" s="23">
        <v>0</v>
      </c>
      <c r="G9" s="48"/>
      <c r="H9" s="93" t="s">
        <v>11</v>
      </c>
      <c r="I9" s="95" t="s">
        <v>127</v>
      </c>
    </row>
    <row r="10" spans="1:9" x14ac:dyDescent="0.25">
      <c r="A10" s="26" t="s">
        <v>110</v>
      </c>
      <c r="B10" s="44" t="s">
        <v>85</v>
      </c>
      <c r="C10" s="23">
        <v>0</v>
      </c>
      <c r="G10" s="48"/>
      <c r="H10" s="93"/>
      <c r="I10" s="95"/>
    </row>
    <row r="11" spans="1:9" ht="68.25" customHeight="1" x14ac:dyDescent="0.25">
      <c r="A11" s="26" t="s">
        <v>111</v>
      </c>
      <c r="B11" s="44" t="s">
        <v>86</v>
      </c>
      <c r="C11" s="23">
        <v>20</v>
      </c>
      <c r="D11" s="23">
        <v>22.5</v>
      </c>
      <c r="E11" s="23">
        <v>26.1</v>
      </c>
      <c r="F11" s="23">
        <v>30.3</v>
      </c>
      <c r="G11" s="46">
        <f>2.07E-25*EXP(0.0296777916583259*G1)</f>
        <v>54.729024547058621</v>
      </c>
      <c r="H11" s="47" t="s">
        <v>15</v>
      </c>
      <c r="I11" s="27" t="s">
        <v>161</v>
      </c>
    </row>
    <row r="12" spans="1:9" ht="62.25" customHeight="1" x14ac:dyDescent="0.25">
      <c r="A12" s="26" t="s">
        <v>112</v>
      </c>
      <c r="B12" s="44" t="s">
        <v>87</v>
      </c>
      <c r="C12" s="23">
        <v>0.25</v>
      </c>
      <c r="D12" s="23">
        <v>0.25</v>
      </c>
      <c r="E12" s="23">
        <v>0.25</v>
      </c>
      <c r="F12" s="23">
        <v>0.25</v>
      </c>
      <c r="G12" s="48">
        <v>0.25</v>
      </c>
      <c r="H12" s="47" t="s">
        <v>11</v>
      </c>
      <c r="I12" s="27" t="s">
        <v>128</v>
      </c>
    </row>
    <row r="13" spans="1:9" ht="61.5" customHeight="1" x14ac:dyDescent="0.25">
      <c r="A13" s="26" t="s">
        <v>113</v>
      </c>
      <c r="B13" s="44" t="s">
        <v>88</v>
      </c>
      <c r="C13" s="23">
        <v>1E-3</v>
      </c>
      <c r="D13" s="23">
        <v>1E-3</v>
      </c>
      <c r="E13" s="23">
        <v>1E-3</v>
      </c>
      <c r="F13" s="23">
        <v>1E-3</v>
      </c>
      <c r="G13" s="49">
        <v>1E-3</v>
      </c>
      <c r="H13" s="47" t="s">
        <v>31</v>
      </c>
      <c r="I13" s="27" t="s">
        <v>129</v>
      </c>
    </row>
    <row r="14" spans="1:9" ht="34.15" customHeight="1" x14ac:dyDescent="0.25">
      <c r="A14" s="26" t="s">
        <v>114</v>
      </c>
      <c r="B14" s="44" t="s">
        <v>89</v>
      </c>
      <c r="G14" s="48"/>
      <c r="H14" s="47"/>
      <c r="I14" s="26" t="s">
        <v>162</v>
      </c>
    </row>
    <row r="15" spans="1:9" ht="63.75" x14ac:dyDescent="0.25">
      <c r="A15" s="26" t="s">
        <v>115</v>
      </c>
      <c r="B15" s="44" t="s">
        <v>90</v>
      </c>
      <c r="C15" s="48">
        <v>3.7549999999999999</v>
      </c>
      <c r="D15" s="48">
        <v>3.3239999999999998</v>
      </c>
      <c r="E15" s="48">
        <v>2.8540000000000001</v>
      </c>
      <c r="F15" s="48">
        <v>2.4510000000000001</v>
      </c>
      <c r="G15" s="48">
        <f>1.79681842503226E+27*EXP(-0.0304725973915134*G1)</f>
        <v>1.3324114456421032</v>
      </c>
      <c r="H15" s="93" t="s">
        <v>15</v>
      </c>
      <c r="I15" s="27" t="s">
        <v>163</v>
      </c>
    </row>
    <row r="16" spans="1:9" ht="39.950000000000003" customHeight="1" x14ac:dyDescent="0.25">
      <c r="A16" s="26" t="s">
        <v>116</v>
      </c>
      <c r="B16" s="44" t="s">
        <v>91</v>
      </c>
      <c r="C16" s="48">
        <v>3</v>
      </c>
      <c r="D16" s="48">
        <v>2.6549999999999998</v>
      </c>
      <c r="E16" s="48">
        <v>2.2799999999999998</v>
      </c>
      <c r="F16" s="48">
        <v>1.958</v>
      </c>
      <c r="G16" s="48">
        <f>1.43999081822477E+27*EXP(-0.0304741788483787*G1)</f>
        <v>1.064353538757961</v>
      </c>
      <c r="H16" s="93"/>
      <c r="I16" s="94" t="s">
        <v>131</v>
      </c>
    </row>
    <row r="17" spans="1:9" ht="39.950000000000003" customHeight="1" x14ac:dyDescent="0.25">
      <c r="A17" s="26" t="s">
        <v>117</v>
      </c>
      <c r="B17" s="44" t="s">
        <v>92</v>
      </c>
      <c r="C17" s="48">
        <v>0.3</v>
      </c>
      <c r="D17" s="48">
        <v>0.26500000000000001</v>
      </c>
      <c r="E17" s="48">
        <v>0.22800000000000001</v>
      </c>
      <c r="F17" s="48">
        <v>0.19500000000000001</v>
      </c>
      <c r="G17" s="48">
        <f>2.24924246320462E+26*EXP(-0.030695388358071*G1)</f>
        <v>0.10563767086001355</v>
      </c>
      <c r="H17" s="93"/>
      <c r="I17" s="94"/>
    </row>
    <row r="18" spans="1:9" ht="31.15" customHeight="1" x14ac:dyDescent="0.25">
      <c r="A18" s="26" t="s">
        <v>118</v>
      </c>
      <c r="B18" s="44" t="s">
        <v>93</v>
      </c>
      <c r="D18" s="23">
        <v>5.8</v>
      </c>
      <c r="G18" s="48"/>
      <c r="H18" s="47" t="s">
        <v>60</v>
      </c>
      <c r="I18" s="96" t="s">
        <v>164</v>
      </c>
    </row>
    <row r="19" spans="1:9" ht="85.5" customHeight="1" x14ac:dyDescent="0.25">
      <c r="A19" s="26" t="s">
        <v>119</v>
      </c>
      <c r="B19" s="44" t="s">
        <v>94</v>
      </c>
      <c r="C19" s="49"/>
      <c r="D19" s="46">
        <v>2.2000000000000002</v>
      </c>
      <c r="E19" s="49"/>
      <c r="F19" s="49"/>
      <c r="G19" s="49"/>
      <c r="H19" s="47" t="s">
        <v>60</v>
      </c>
      <c r="I19" s="96"/>
    </row>
    <row r="20" spans="1:9" ht="43.5" customHeight="1" x14ac:dyDescent="0.25">
      <c r="A20" s="26" t="s">
        <v>120</v>
      </c>
      <c r="B20" s="44" t="s">
        <v>90</v>
      </c>
      <c r="C20" s="48">
        <v>4.6941170000000003</v>
      </c>
      <c r="D20" s="48">
        <f>Flywheels!C29</f>
        <v>3.7979061549000002</v>
      </c>
      <c r="E20" s="48">
        <v>3.5686140000000002</v>
      </c>
      <c r="F20" s="48">
        <f>Flywheels!D29</f>
        <v>2.8006676303060027</v>
      </c>
      <c r="G20" s="48">
        <f>2.18640410680429E+27*EXP(-0.030459*G1)</f>
        <v>1.6671336004692439</v>
      </c>
      <c r="H20" s="50"/>
      <c r="I20" s="27" t="s">
        <v>98</v>
      </c>
    </row>
    <row r="21" spans="1:9" ht="60" customHeight="1" x14ac:dyDescent="0.25">
      <c r="A21" s="26" t="s">
        <v>121</v>
      </c>
      <c r="B21" s="44" t="s">
        <v>95</v>
      </c>
      <c r="C21" s="23">
        <v>350</v>
      </c>
      <c r="D21" s="23">
        <v>350</v>
      </c>
      <c r="E21" s="23">
        <v>350</v>
      </c>
      <c r="F21" s="23">
        <v>350</v>
      </c>
      <c r="G21" s="45">
        <v>350</v>
      </c>
      <c r="H21" s="93" t="s">
        <v>11</v>
      </c>
      <c r="I21" s="94" t="s">
        <v>132</v>
      </c>
    </row>
    <row r="22" spans="1:9" ht="49.5" customHeight="1" x14ac:dyDescent="0.25">
      <c r="A22" s="26" t="s">
        <v>122</v>
      </c>
      <c r="B22" s="44" t="s">
        <v>95</v>
      </c>
      <c r="C22" s="23">
        <v>1500</v>
      </c>
      <c r="D22" s="23">
        <v>1500</v>
      </c>
      <c r="E22" s="23">
        <v>1500</v>
      </c>
      <c r="F22" s="23">
        <v>1500</v>
      </c>
      <c r="G22" s="45">
        <v>1500</v>
      </c>
      <c r="H22" s="93"/>
      <c r="I22" s="94"/>
    </row>
    <row r="23" spans="1:9" ht="63.75" x14ac:dyDescent="0.25">
      <c r="A23" s="26" t="s">
        <v>57</v>
      </c>
      <c r="B23" s="44" t="s">
        <v>96</v>
      </c>
      <c r="C23" s="51">
        <v>200000</v>
      </c>
      <c r="D23" s="51">
        <v>225101</v>
      </c>
      <c r="E23" s="51">
        <v>260954</v>
      </c>
      <c r="F23" s="51">
        <v>302517</v>
      </c>
      <c r="G23" s="51">
        <f>2.638E-21*EXP(0.0295586322376959*G1)</f>
        <v>546303.62433718448</v>
      </c>
      <c r="H23" s="47" t="s">
        <v>15</v>
      </c>
      <c r="I23" s="27" t="s">
        <v>165</v>
      </c>
    </row>
    <row r="24" spans="1:9" ht="56.85" customHeight="1" x14ac:dyDescent="0.25">
      <c r="A24" s="26"/>
      <c r="B24" s="44"/>
      <c r="C24" s="52"/>
      <c r="D24" s="52"/>
      <c r="E24" s="52"/>
      <c r="F24" s="52"/>
      <c r="G24" s="53"/>
    </row>
    <row r="26" spans="1:9" ht="16.350000000000001" customHeight="1" x14ac:dyDescent="0.25">
      <c r="H26" s="60"/>
      <c r="I26" s="60"/>
    </row>
    <row r="27" spans="1:9" x14ac:dyDescent="0.25">
      <c r="I27" s="23"/>
    </row>
    <row r="28" spans="1:9" x14ac:dyDescent="0.3">
      <c r="A28" s="55" t="s">
        <v>15</v>
      </c>
      <c r="B28" s="56" t="s">
        <v>36</v>
      </c>
    </row>
    <row r="29" spans="1:9" x14ac:dyDescent="0.3">
      <c r="A29" s="55" t="s">
        <v>11</v>
      </c>
      <c r="B29" s="57" t="s">
        <v>44</v>
      </c>
    </row>
    <row r="30" spans="1:9" x14ac:dyDescent="0.3">
      <c r="A30" s="55" t="s">
        <v>30</v>
      </c>
      <c r="B30" s="57" t="s">
        <v>34</v>
      </c>
    </row>
    <row r="31" spans="1:9" x14ac:dyDescent="0.3">
      <c r="A31" s="55" t="s">
        <v>31</v>
      </c>
      <c r="B31" s="57" t="s">
        <v>35</v>
      </c>
    </row>
    <row r="32" spans="1:9" x14ac:dyDescent="0.3">
      <c r="A32" s="55" t="s">
        <v>43</v>
      </c>
      <c r="B32" s="58" t="s">
        <v>42</v>
      </c>
    </row>
    <row r="33" spans="1:2" x14ac:dyDescent="0.3">
      <c r="A33" s="55" t="s">
        <v>60</v>
      </c>
      <c r="B33" s="59" t="s">
        <v>124</v>
      </c>
    </row>
  </sheetData>
  <mergeCells count="10">
    <mergeCell ref="H2:H5"/>
    <mergeCell ref="H9:H10"/>
    <mergeCell ref="H15:H17"/>
    <mergeCell ref="H21:H22"/>
    <mergeCell ref="I2:I4"/>
    <mergeCell ref="I6:I7"/>
    <mergeCell ref="I16:I17"/>
    <mergeCell ref="I9:I10"/>
    <mergeCell ref="I21:I22"/>
    <mergeCell ref="I18:I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9"/>
  <sheetViews>
    <sheetView workbookViewId="0">
      <selection activeCell="B27" sqref="B27:H27"/>
    </sheetView>
  </sheetViews>
  <sheetFormatPr baseColWidth="10" defaultColWidth="11.5703125" defaultRowHeight="18" x14ac:dyDescent="0.35"/>
  <cols>
    <col min="1" max="1" width="57.7109375" style="28" customWidth="1"/>
    <col min="2" max="8" width="11.5703125" style="24" customWidth="1"/>
    <col min="9" max="9" width="10.140625" style="24" customWidth="1"/>
    <col min="10" max="10" width="12.140625" style="24" customWidth="1"/>
    <col min="11" max="12" width="10.140625" style="24" customWidth="1"/>
    <col min="13" max="15" width="10.42578125" style="24" customWidth="1"/>
    <col min="16" max="20" width="10.140625" style="24" customWidth="1"/>
    <col min="21" max="25" width="10.7109375" style="24" customWidth="1"/>
    <col min="26" max="16384" width="11.5703125" style="24"/>
  </cols>
  <sheetData>
    <row r="1" spans="1:25" s="30" customFormat="1" ht="36" x14ac:dyDescent="0.35">
      <c r="A1" s="31"/>
      <c r="B1" s="32"/>
      <c r="C1" s="32"/>
      <c r="D1" s="32"/>
      <c r="E1" s="32"/>
      <c r="F1" s="99" t="s">
        <v>71</v>
      </c>
      <c r="G1" s="99"/>
      <c r="H1" s="99" t="s">
        <v>72</v>
      </c>
      <c r="I1" s="99"/>
      <c r="J1" s="32"/>
      <c r="K1" s="99" t="s">
        <v>65</v>
      </c>
      <c r="L1" s="99"/>
      <c r="M1" s="99" t="s">
        <v>66</v>
      </c>
      <c r="N1" s="99"/>
      <c r="O1" s="99" t="s">
        <v>67</v>
      </c>
      <c r="P1" s="99"/>
      <c r="Q1" s="33"/>
      <c r="R1" s="34" t="s">
        <v>68</v>
      </c>
      <c r="S1" s="34" t="s">
        <v>69</v>
      </c>
      <c r="T1" s="34" t="s">
        <v>70</v>
      </c>
      <c r="U1" s="99" t="s">
        <v>97</v>
      </c>
      <c r="V1" s="99"/>
      <c r="W1" s="99"/>
      <c r="X1" s="99"/>
      <c r="Y1" s="99"/>
    </row>
    <row r="2" spans="1:25" ht="30" customHeight="1" x14ac:dyDescent="0.35">
      <c r="A2" s="35" t="s">
        <v>55</v>
      </c>
      <c r="B2" s="34">
        <v>2018</v>
      </c>
      <c r="C2" s="34">
        <v>2020</v>
      </c>
      <c r="D2" s="34">
        <v>2030</v>
      </c>
      <c r="E2" s="34">
        <v>2050</v>
      </c>
      <c r="F2" s="32" t="s">
        <v>6</v>
      </c>
      <c r="G2" s="36" t="s">
        <v>7</v>
      </c>
      <c r="H2" s="36" t="s">
        <v>6</v>
      </c>
      <c r="I2" s="36" t="s">
        <v>7</v>
      </c>
      <c r="J2" s="32" t="s">
        <v>56</v>
      </c>
      <c r="K2" s="36" t="s">
        <v>6</v>
      </c>
      <c r="L2" s="36" t="s">
        <v>7</v>
      </c>
      <c r="M2" s="36" t="s">
        <v>6</v>
      </c>
      <c r="N2" s="36" t="s">
        <v>7</v>
      </c>
      <c r="O2" s="36" t="s">
        <v>6</v>
      </c>
      <c r="P2" s="36" t="s">
        <v>7</v>
      </c>
      <c r="Q2" s="37"/>
      <c r="R2" s="38">
        <v>2020</v>
      </c>
      <c r="S2" s="39">
        <f>K3</f>
        <v>-0.14285714285714285</v>
      </c>
      <c r="T2" s="39">
        <f>L3</f>
        <v>0.14285714285714285</v>
      </c>
      <c r="U2" s="102" t="s">
        <v>166</v>
      </c>
      <c r="V2" s="103"/>
      <c r="W2" s="103"/>
      <c r="X2" s="103"/>
      <c r="Y2" s="104"/>
    </row>
    <row r="3" spans="1:25" ht="31.15" customHeight="1" x14ac:dyDescent="0.35">
      <c r="A3" s="29" t="s">
        <v>133</v>
      </c>
      <c r="B3" s="36">
        <v>115</v>
      </c>
      <c r="C3" s="36">
        <v>350</v>
      </c>
      <c r="D3" s="36">
        <v>350</v>
      </c>
      <c r="E3" s="36">
        <v>350</v>
      </c>
      <c r="F3" s="36">
        <v>300</v>
      </c>
      <c r="G3" s="36">
        <v>400</v>
      </c>
      <c r="H3" s="36">
        <v>350</v>
      </c>
      <c r="I3" s="36">
        <v>400</v>
      </c>
      <c r="J3" s="100" t="s">
        <v>11</v>
      </c>
      <c r="K3" s="40">
        <f>(F3-$C$3)/$C$3</f>
        <v>-0.14285714285714285</v>
      </c>
      <c r="L3" s="40">
        <f>(G3-$C$3)/$C$3</f>
        <v>0.14285714285714285</v>
      </c>
      <c r="M3" s="40">
        <f>(0.004762*D2)-9.761905</f>
        <v>-9.5045000000000712E-2</v>
      </c>
      <c r="N3" s="40">
        <f>0.14</f>
        <v>0.14000000000000001</v>
      </c>
      <c r="O3" s="40">
        <f>(H3-$E$3)/$E$3</f>
        <v>0</v>
      </c>
      <c r="P3" s="40">
        <f>(I3-$E$3)/$E$3</f>
        <v>0.14285714285714285</v>
      </c>
      <c r="Q3" s="37"/>
      <c r="R3" s="38">
        <v>2050</v>
      </c>
      <c r="S3" s="39">
        <f>O3</f>
        <v>0</v>
      </c>
      <c r="T3" s="39">
        <f>P3</f>
        <v>0.14285714285714285</v>
      </c>
      <c r="U3" s="105"/>
      <c r="V3" s="106"/>
      <c r="W3" s="106"/>
      <c r="X3" s="106"/>
      <c r="Y3" s="107"/>
    </row>
    <row r="4" spans="1:25" ht="30" customHeight="1" x14ac:dyDescent="0.35">
      <c r="A4" s="29" t="s">
        <v>134</v>
      </c>
      <c r="B4" s="36">
        <v>500</v>
      </c>
      <c r="C4" s="36">
        <v>1500</v>
      </c>
      <c r="D4" s="36">
        <v>1500</v>
      </c>
      <c r="E4" s="36">
        <v>1500</v>
      </c>
      <c r="F4" s="36">
        <v>1300</v>
      </c>
      <c r="G4" s="36">
        <v>2000</v>
      </c>
      <c r="H4" s="36">
        <v>1300</v>
      </c>
      <c r="I4" s="36">
        <v>2000</v>
      </c>
      <c r="J4" s="100"/>
      <c r="K4" s="40">
        <f>(F4-$C$4)/$C$4</f>
        <v>-0.13333333333333333</v>
      </c>
      <c r="L4" s="40">
        <f>(G4-$C$4)/$C$4</f>
        <v>0.33333333333333331</v>
      </c>
      <c r="M4" s="41">
        <f>K4</f>
        <v>-0.13333333333333333</v>
      </c>
      <c r="N4" s="41">
        <f>L4</f>
        <v>0.33333333333333331</v>
      </c>
      <c r="O4" s="40">
        <f>(H4-$E$4)/$E$4</f>
        <v>-0.13333333333333333</v>
      </c>
      <c r="P4" s="40">
        <f>(I4-$E$4)/$E$4</f>
        <v>0.33333333333333331</v>
      </c>
      <c r="Q4" s="37"/>
      <c r="R4" s="37"/>
      <c r="S4" s="37"/>
      <c r="T4" s="37"/>
      <c r="U4" s="105" t="s">
        <v>167</v>
      </c>
      <c r="V4" s="106"/>
      <c r="W4" s="106"/>
      <c r="X4" s="106"/>
      <c r="Y4" s="107"/>
    </row>
    <row r="5" spans="1:25" x14ac:dyDescent="0.35">
      <c r="A5" s="25"/>
    </row>
    <row r="6" spans="1:25" x14ac:dyDescent="0.35">
      <c r="A6" s="25"/>
    </row>
    <row r="7" spans="1:25" x14ac:dyDescent="0.35">
      <c r="B7" s="108" t="s">
        <v>97</v>
      </c>
      <c r="C7" s="108"/>
      <c r="D7" s="108"/>
      <c r="E7" s="108"/>
      <c r="F7" s="108"/>
      <c r="G7" s="108"/>
      <c r="H7" s="108"/>
      <c r="I7" s="61"/>
      <c r="J7" s="61"/>
      <c r="K7" s="61"/>
      <c r="L7" s="61"/>
      <c r="M7" s="62"/>
      <c r="N7" s="62"/>
      <c r="O7" s="62"/>
    </row>
    <row r="8" spans="1:25" x14ac:dyDescent="0.35">
      <c r="A8" s="29" t="s">
        <v>135</v>
      </c>
      <c r="B8" s="97" t="s">
        <v>159</v>
      </c>
      <c r="C8" s="97"/>
      <c r="D8" s="97"/>
      <c r="E8" s="97"/>
      <c r="F8" s="97"/>
      <c r="G8" s="97"/>
      <c r="H8" s="97"/>
      <c r="I8" s="61"/>
      <c r="J8" s="61"/>
      <c r="K8" s="61"/>
      <c r="L8" s="61"/>
      <c r="M8" s="61"/>
      <c r="N8" s="61"/>
      <c r="O8" s="61"/>
    </row>
    <row r="9" spans="1:25" x14ac:dyDescent="0.35">
      <c r="A9" s="29" t="s">
        <v>136</v>
      </c>
      <c r="B9" s="97"/>
      <c r="C9" s="97"/>
      <c r="D9" s="97"/>
      <c r="E9" s="97"/>
      <c r="F9" s="97"/>
      <c r="G9" s="97"/>
      <c r="H9" s="97"/>
      <c r="I9" s="61"/>
      <c r="J9" s="61"/>
      <c r="K9" s="61"/>
      <c r="L9" s="61"/>
      <c r="M9" s="61"/>
      <c r="N9" s="61"/>
      <c r="O9" s="61"/>
    </row>
    <row r="10" spans="1:25" x14ac:dyDescent="0.35">
      <c r="A10" s="29" t="s">
        <v>137</v>
      </c>
      <c r="B10" s="97"/>
      <c r="C10" s="97"/>
      <c r="D10" s="97"/>
      <c r="E10" s="97"/>
      <c r="F10" s="97"/>
      <c r="G10" s="97"/>
      <c r="H10" s="97"/>
      <c r="I10" s="61"/>
      <c r="J10" s="61"/>
      <c r="K10" s="61"/>
      <c r="L10" s="61"/>
      <c r="M10" s="61"/>
      <c r="N10" s="61"/>
      <c r="O10" s="61"/>
    </row>
    <row r="11" spans="1:25" x14ac:dyDescent="0.35">
      <c r="A11" s="29" t="s">
        <v>138</v>
      </c>
      <c r="B11" s="97"/>
      <c r="C11" s="97"/>
      <c r="D11" s="97"/>
      <c r="E11" s="97"/>
      <c r="F11" s="97"/>
      <c r="G11" s="97"/>
      <c r="H11" s="97"/>
      <c r="I11" s="61"/>
      <c r="J11" s="61"/>
      <c r="K11" s="61"/>
      <c r="L11" s="61"/>
      <c r="M11" s="61"/>
      <c r="N11" s="61"/>
      <c r="O11" s="61"/>
    </row>
    <row r="12" spans="1:25" x14ac:dyDescent="0.35">
      <c r="A12" s="29" t="s">
        <v>100</v>
      </c>
      <c r="B12" s="97"/>
      <c r="C12" s="97"/>
      <c r="D12" s="97"/>
      <c r="E12" s="97"/>
      <c r="F12" s="97"/>
      <c r="G12" s="97"/>
      <c r="H12" s="97"/>
      <c r="I12" s="61"/>
      <c r="J12" s="61"/>
      <c r="K12" s="61"/>
      <c r="L12" s="61"/>
      <c r="M12" s="61"/>
      <c r="N12" s="61"/>
      <c r="O12" s="61"/>
    </row>
    <row r="13" spans="1:25" x14ac:dyDescent="0.35">
      <c r="A13" s="29" t="s">
        <v>139</v>
      </c>
      <c r="B13" s="97"/>
      <c r="C13" s="97"/>
      <c r="D13" s="97"/>
      <c r="E13" s="97"/>
      <c r="F13" s="97"/>
      <c r="G13" s="97"/>
      <c r="H13" s="97"/>
      <c r="I13" s="61"/>
      <c r="J13" s="61"/>
      <c r="K13" s="61"/>
      <c r="L13" s="61"/>
      <c r="M13" s="61"/>
      <c r="N13" s="61"/>
      <c r="O13" s="61"/>
    </row>
    <row r="14" spans="1:25" x14ac:dyDescent="0.35">
      <c r="A14" s="29" t="s">
        <v>140</v>
      </c>
      <c r="B14" s="97"/>
      <c r="C14" s="97"/>
      <c r="D14" s="97"/>
      <c r="E14" s="97"/>
      <c r="F14" s="97"/>
      <c r="G14" s="97"/>
      <c r="H14" s="97"/>
      <c r="I14" s="61"/>
      <c r="J14" s="61"/>
      <c r="K14" s="61"/>
      <c r="L14" s="61"/>
      <c r="M14" s="61"/>
      <c r="N14" s="61"/>
      <c r="O14" s="61"/>
    </row>
    <row r="15" spans="1:25" x14ac:dyDescent="0.35">
      <c r="A15" s="29" t="s">
        <v>141</v>
      </c>
      <c r="B15" s="101" t="s">
        <v>127</v>
      </c>
      <c r="C15" s="101"/>
      <c r="D15" s="101"/>
      <c r="E15" s="101"/>
      <c r="F15" s="101"/>
      <c r="G15" s="101"/>
      <c r="H15" s="101"/>
      <c r="I15" s="61"/>
      <c r="J15" s="61"/>
      <c r="K15" s="61"/>
      <c r="L15" s="61"/>
      <c r="M15" s="63"/>
      <c r="N15" s="63"/>
      <c r="O15" s="63"/>
    </row>
    <row r="16" spans="1:25" x14ac:dyDescent="0.35">
      <c r="A16" s="29" t="s">
        <v>142</v>
      </c>
      <c r="B16" s="101" t="s">
        <v>127</v>
      </c>
      <c r="C16" s="101"/>
      <c r="D16" s="101"/>
      <c r="E16" s="101"/>
      <c r="F16" s="101"/>
      <c r="G16" s="101"/>
      <c r="H16" s="101"/>
      <c r="I16" s="61"/>
      <c r="J16" s="61"/>
      <c r="K16" s="61"/>
      <c r="L16" s="61"/>
      <c r="M16" s="63"/>
      <c r="N16" s="63"/>
      <c r="O16" s="63"/>
    </row>
    <row r="17" spans="1:15" ht="66" customHeight="1" x14ac:dyDescent="0.35">
      <c r="A17" s="29" t="s">
        <v>143</v>
      </c>
      <c r="B17" s="97" t="s">
        <v>154</v>
      </c>
      <c r="C17" s="97"/>
      <c r="D17" s="97"/>
      <c r="E17" s="97"/>
      <c r="F17" s="97"/>
      <c r="G17" s="97"/>
      <c r="H17" s="97"/>
      <c r="I17" s="61"/>
      <c r="J17" s="61"/>
      <c r="K17" s="61"/>
      <c r="L17" s="61"/>
      <c r="M17" s="61"/>
      <c r="N17" s="61"/>
      <c r="O17" s="61"/>
    </row>
    <row r="18" spans="1:15" x14ac:dyDescent="0.35">
      <c r="A18" s="29" t="s">
        <v>144</v>
      </c>
      <c r="B18" s="98" t="s">
        <v>168</v>
      </c>
      <c r="C18" s="98"/>
      <c r="D18" s="98"/>
      <c r="E18" s="98"/>
      <c r="F18" s="98"/>
      <c r="G18" s="98"/>
      <c r="H18" s="98"/>
      <c r="I18" s="67"/>
      <c r="J18" s="67"/>
      <c r="K18" s="67"/>
      <c r="L18" s="67"/>
      <c r="M18" s="65"/>
      <c r="N18" s="64"/>
      <c r="O18" s="64"/>
    </row>
    <row r="19" spans="1:15" x14ac:dyDescent="0.35">
      <c r="A19" s="29" t="s">
        <v>145</v>
      </c>
      <c r="B19" s="97" t="s">
        <v>169</v>
      </c>
      <c r="C19" s="97"/>
      <c r="D19" s="97"/>
      <c r="E19" s="97"/>
      <c r="F19" s="97"/>
      <c r="G19" s="97"/>
      <c r="H19" s="97"/>
      <c r="I19" s="67"/>
      <c r="J19" s="67"/>
      <c r="K19" s="67"/>
      <c r="L19" s="67"/>
      <c r="M19" s="65"/>
      <c r="N19" s="64"/>
      <c r="O19" s="64"/>
    </row>
    <row r="20" spans="1:15" ht="25.5" x14ac:dyDescent="0.35">
      <c r="A20" s="29" t="s">
        <v>146</v>
      </c>
      <c r="B20" s="97"/>
      <c r="C20" s="97"/>
      <c r="D20" s="97"/>
      <c r="E20" s="97"/>
      <c r="F20" s="97"/>
      <c r="G20" s="97"/>
      <c r="H20" s="97"/>
      <c r="I20" s="67"/>
      <c r="J20" s="67"/>
      <c r="K20" s="67"/>
      <c r="L20" s="67"/>
      <c r="M20" s="65"/>
      <c r="N20" s="64"/>
      <c r="O20" s="64"/>
    </row>
    <row r="21" spans="1:15" ht="97.5" customHeight="1" x14ac:dyDescent="0.35">
      <c r="A21" s="29" t="s">
        <v>147</v>
      </c>
      <c r="B21" s="97" t="s">
        <v>170</v>
      </c>
      <c r="C21" s="97"/>
      <c r="D21" s="97"/>
      <c r="E21" s="97"/>
      <c r="F21" s="97"/>
      <c r="G21" s="97"/>
      <c r="H21" s="97"/>
      <c r="I21" s="68"/>
      <c r="J21" s="68"/>
      <c r="K21" s="68"/>
      <c r="L21" s="68"/>
      <c r="M21" s="65"/>
      <c r="N21" s="64"/>
      <c r="O21" s="64"/>
    </row>
    <row r="22" spans="1:15" ht="39.950000000000003" customHeight="1" x14ac:dyDescent="0.35">
      <c r="A22" s="29" t="s">
        <v>148</v>
      </c>
      <c r="B22" s="97" t="s">
        <v>155</v>
      </c>
      <c r="C22" s="97"/>
      <c r="D22" s="97"/>
      <c r="E22" s="97"/>
      <c r="F22" s="97"/>
      <c r="G22" s="97"/>
      <c r="H22" s="97"/>
      <c r="I22" s="69"/>
      <c r="J22" s="69"/>
      <c r="K22" s="69"/>
      <c r="L22" s="69"/>
      <c r="M22" s="61"/>
      <c r="N22" s="61"/>
      <c r="O22" s="61"/>
    </row>
    <row r="23" spans="1:15" ht="39.950000000000003" customHeight="1" x14ac:dyDescent="0.35">
      <c r="A23" s="29" t="s">
        <v>149</v>
      </c>
      <c r="B23" s="97"/>
      <c r="C23" s="97"/>
      <c r="D23" s="97"/>
      <c r="E23" s="97"/>
      <c r="F23" s="97"/>
      <c r="G23" s="97"/>
      <c r="H23" s="97"/>
      <c r="I23" s="69"/>
      <c r="J23" s="69"/>
      <c r="K23" s="69"/>
      <c r="L23" s="69"/>
      <c r="M23" s="61"/>
      <c r="N23" s="61"/>
      <c r="O23" s="61"/>
    </row>
    <row r="24" spans="1:15" x14ac:dyDescent="0.35">
      <c r="A24" s="29" t="s">
        <v>118</v>
      </c>
      <c r="B24" s="97" t="s">
        <v>171</v>
      </c>
      <c r="C24" s="97"/>
      <c r="D24" s="97"/>
      <c r="E24" s="97"/>
      <c r="F24" s="97"/>
      <c r="G24" s="97"/>
      <c r="H24" s="97"/>
      <c r="I24" s="68"/>
      <c r="J24" s="68"/>
      <c r="K24" s="68"/>
      <c r="L24" s="68"/>
      <c r="M24" s="66"/>
      <c r="N24" s="63"/>
      <c r="O24" s="63"/>
    </row>
    <row r="25" spans="1:15" x14ac:dyDescent="0.35">
      <c r="A25" s="29" t="s">
        <v>150</v>
      </c>
      <c r="B25" s="97"/>
      <c r="C25" s="97"/>
      <c r="D25" s="97"/>
      <c r="E25" s="97"/>
      <c r="F25" s="97"/>
      <c r="G25" s="97"/>
      <c r="H25" s="97"/>
      <c r="I25" s="68"/>
      <c r="J25" s="68"/>
      <c r="K25" s="68"/>
      <c r="L25" s="68"/>
      <c r="M25" s="66"/>
      <c r="N25" s="63"/>
      <c r="O25" s="63"/>
    </row>
    <row r="26" spans="1:15" ht="98.25" customHeight="1" x14ac:dyDescent="0.35">
      <c r="A26" s="29" t="s">
        <v>151</v>
      </c>
      <c r="B26" s="97" t="s">
        <v>170</v>
      </c>
      <c r="C26" s="97"/>
      <c r="D26" s="97"/>
      <c r="E26" s="97"/>
      <c r="F26" s="97"/>
      <c r="G26" s="97"/>
      <c r="H26" s="97"/>
      <c r="I26" s="68"/>
      <c r="J26" s="68"/>
      <c r="K26" s="68"/>
      <c r="L26" s="68"/>
      <c r="M26" s="65"/>
      <c r="N26" s="64"/>
      <c r="O26" s="64"/>
    </row>
    <row r="27" spans="1:15" ht="54" customHeight="1" x14ac:dyDescent="0.35">
      <c r="A27" s="29" t="s">
        <v>28</v>
      </c>
      <c r="B27" s="97" t="s">
        <v>156</v>
      </c>
      <c r="C27" s="97"/>
      <c r="D27" s="97"/>
      <c r="E27" s="97"/>
      <c r="F27" s="97"/>
      <c r="G27" s="97"/>
      <c r="H27" s="97"/>
      <c r="I27" s="61"/>
      <c r="J27" s="61"/>
      <c r="K27" s="61"/>
      <c r="L27" s="61"/>
      <c r="M27" s="61"/>
      <c r="N27" s="61"/>
      <c r="O27" s="61"/>
    </row>
    <row r="28" spans="1:15" ht="23.25" customHeight="1" x14ac:dyDescent="0.35">
      <c r="A28" s="29" t="s">
        <v>152</v>
      </c>
      <c r="B28" s="97" t="s">
        <v>99</v>
      </c>
      <c r="C28" s="97"/>
      <c r="D28" s="97"/>
      <c r="E28" s="97"/>
      <c r="F28" s="97"/>
      <c r="G28" s="97"/>
      <c r="H28" s="97"/>
      <c r="I28" s="61"/>
      <c r="J28" s="61"/>
      <c r="K28" s="61"/>
      <c r="L28" s="61"/>
      <c r="M28" s="61"/>
      <c r="N28" s="61"/>
      <c r="O28" s="61"/>
    </row>
    <row r="29" spans="1:15" ht="25.5" customHeight="1" x14ac:dyDescent="0.35">
      <c r="A29" s="29" t="s">
        <v>153</v>
      </c>
      <c r="B29" s="97"/>
      <c r="C29" s="97"/>
      <c r="D29" s="97"/>
      <c r="E29" s="97"/>
      <c r="F29" s="97"/>
      <c r="G29" s="97"/>
      <c r="H29" s="97"/>
      <c r="I29" s="61"/>
      <c r="J29" s="61"/>
      <c r="K29" s="61"/>
      <c r="L29" s="61"/>
      <c r="M29" s="61"/>
      <c r="N29" s="61"/>
      <c r="O29" s="61"/>
    </row>
  </sheetData>
  <mergeCells count="22">
    <mergeCell ref="U1:Y1"/>
    <mergeCell ref="U2:Y3"/>
    <mergeCell ref="U4:Y4"/>
    <mergeCell ref="B7:H7"/>
    <mergeCell ref="B8:H14"/>
    <mergeCell ref="B17:H17"/>
    <mergeCell ref="O1:P1"/>
    <mergeCell ref="J3:J4"/>
    <mergeCell ref="F1:G1"/>
    <mergeCell ref="H1:I1"/>
    <mergeCell ref="K1:L1"/>
    <mergeCell ref="M1:N1"/>
    <mergeCell ref="B15:H15"/>
    <mergeCell ref="B16:H16"/>
    <mergeCell ref="B24:H25"/>
    <mergeCell ref="B28:H29"/>
    <mergeCell ref="B18:H18"/>
    <mergeCell ref="B19:H20"/>
    <mergeCell ref="B21:H21"/>
    <mergeCell ref="B22:H23"/>
    <mergeCell ref="B26:H26"/>
    <mergeCell ref="B27:H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7</vt:i4>
      </vt:variant>
    </vt:vector>
  </HeadingPairs>
  <TitlesOfParts>
    <vt:vector size="10" baseType="lpstr">
      <vt:lpstr>Flywheels</vt:lpstr>
      <vt:lpstr>Data</vt:lpstr>
      <vt:lpstr>Uncertanties</vt:lpstr>
      <vt:lpstr>USE_L</vt:lpstr>
      <vt:lpstr>05_RTE</vt:lpstr>
      <vt:lpstr>08_ELS</vt:lpstr>
      <vt:lpstr>11_TL</vt:lpstr>
      <vt:lpstr>16_EC</vt:lpstr>
      <vt:lpstr>17_CC</vt:lpstr>
      <vt:lpstr>23_LTN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Ulises</cp:lastModifiedBy>
  <dcterms:created xsi:type="dcterms:W3CDTF">2019-12-11T22:28:31Z</dcterms:created>
  <dcterms:modified xsi:type="dcterms:W3CDTF">2020-05-19T15:28:47Z</dcterms:modified>
</cp:coreProperties>
</file>