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CAES" sheetId="1" r:id="rId1"/>
    <sheet name="Data" sheetId="2" r:id="rId2"/>
    <sheet name="Uncertanties" sheetId="11" r:id="rId3"/>
    <sheet name="URTI_L" sheetId="14" r:id="rId4"/>
    <sheet name="URTI_U" sheetId="15" r:id="rId5"/>
    <sheet name="15_EC" sheetId="6" r:id="rId6"/>
    <sheet name="16_CC" sheetId="7" r:id="rId7"/>
  </sheets>
  <externalReferences>
    <externalReference r:id="rId8"/>
    <externalReference r:id="rId9"/>
    <externalReference r:id="rId10"/>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CAES!#REF!</definedName>
    <definedName name="Start9" localSheetId="0">[2]Flywheels!#REF!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H14" i="2"/>
  <c r="F14" i="2"/>
  <c r="D14" i="2"/>
  <c r="I5" i="2" l="1"/>
  <c r="H20" i="2" l="1"/>
  <c r="F20" i="2"/>
  <c r="C33" i="1"/>
  <c r="I33" i="1" l="1"/>
  <c r="F10" i="1" l="1"/>
  <c r="F5" i="2" l="1"/>
  <c r="C34" i="2" l="1"/>
  <c r="C35" i="2" l="1"/>
  <c r="C36" i="2" l="1"/>
  <c r="D28" i="2"/>
  <c r="D27" i="2"/>
  <c r="D26" i="2"/>
  <c r="D25" i="2"/>
  <c r="D34" i="2" l="1"/>
  <c r="D33" i="2"/>
  <c r="D35" i="2"/>
  <c r="D36" i="2"/>
  <c r="C37" i="2"/>
  <c r="D37" i="2" s="1"/>
  <c r="C30" i="2"/>
  <c r="B26" i="2"/>
  <c r="B27" i="2" s="1"/>
  <c r="B28" i="2" s="1"/>
  <c r="E27" i="1" l="1"/>
  <c r="E33" i="1" s="1"/>
  <c r="I16" i="2"/>
  <c r="C29" i="2"/>
  <c r="G28" i="2"/>
  <c r="G27" i="2"/>
  <c r="G26" i="2"/>
  <c r="G25" i="2"/>
  <c r="G29" i="2" s="1"/>
  <c r="E28" i="2" l="1"/>
  <c r="F28" i="2" s="1"/>
  <c r="E27" i="2"/>
  <c r="F27" i="2" s="1"/>
  <c r="E26" i="2"/>
  <c r="F26" i="2" s="1"/>
  <c r="E25" i="2"/>
  <c r="E29" i="2" l="1"/>
  <c r="E30" i="2"/>
  <c r="F25" i="2"/>
  <c r="F29" i="2" s="1"/>
  <c r="C25" i="1"/>
  <c r="H25" i="2" l="1"/>
  <c r="I25" i="2" s="1"/>
  <c r="H33" i="1"/>
  <c r="G33" i="1"/>
  <c r="J28" i="2" l="1"/>
  <c r="J25" i="2"/>
  <c r="J29" i="2"/>
  <c r="J27" i="2"/>
  <c r="J26" i="2"/>
  <c r="I25" i="1" l="1"/>
  <c r="H25" i="1"/>
  <c r="G25" i="1"/>
  <c r="N3" i="11" l="1"/>
  <c r="M3" i="11"/>
  <c r="P3" i="11"/>
  <c r="T3" i="11" s="1"/>
  <c r="O3" i="11"/>
  <c r="S3" i="11" s="1"/>
  <c r="L3" i="11"/>
  <c r="T2" i="11" s="1"/>
  <c r="K3" i="11"/>
  <c r="S2" i="11" s="1"/>
  <c r="I10" i="1" l="1"/>
  <c r="H10" i="1"/>
  <c r="G10" i="1"/>
  <c r="F7" i="1" l="1"/>
  <c r="F25" i="1" l="1"/>
  <c r="F33" i="1"/>
  <c r="E10" i="1"/>
  <c r="H5" i="2"/>
  <c r="D10" i="1" s="1"/>
  <c r="C10" i="1"/>
  <c r="D27" i="1" l="1"/>
  <c r="D33" i="1" s="1"/>
  <c r="I15" i="2"/>
  <c r="I14" i="2" l="1"/>
  <c r="I20" i="2"/>
  <c r="E25" i="1"/>
  <c r="D25" i="1"/>
</calcChain>
</file>

<file path=xl/sharedStrings.xml><?xml version="1.0" encoding="utf-8"?>
<sst xmlns="http://schemas.openxmlformats.org/spreadsheetml/2006/main" count="259" uniqueCount="191">
  <si>
    <t xml:space="preserve">Compressed Air Energy Storage </t>
  </si>
  <si>
    <t>Uncertainty (2020)</t>
  </si>
  <si>
    <t>Uncertainty (2030)</t>
  </si>
  <si>
    <t>Note</t>
  </si>
  <si>
    <t>Ref</t>
  </si>
  <si>
    <t>Energy/technical data</t>
  </si>
  <si>
    <t>Lower</t>
  </si>
  <si>
    <t>Upper</t>
  </si>
  <si>
    <t>Upper </t>
  </si>
  <si>
    <t>Form of energy stored</t>
  </si>
  <si>
    <t>Mechanical and chemical</t>
  </si>
  <si>
    <t>Application</t>
  </si>
  <si>
    <t>Energy Shifting</t>
  </si>
  <si>
    <t>Energy storage capacity for one unit (MWh)</t>
  </si>
  <si>
    <t>[1]</t>
  </si>
  <si>
    <t>Output capacity for one unit (MW)</t>
  </si>
  <si>
    <t>Input capacity for one unit (MW)</t>
  </si>
  <si>
    <t>Round trip efficiency (%)</t>
  </si>
  <si>
    <t>[3]</t>
  </si>
  <si>
    <t xml:space="preserve"> - Discharge efficiency (%)</t>
  </si>
  <si>
    <t>Energy losses during storage (%/day)</t>
  </si>
  <si>
    <t>[2], [3], [9]</t>
  </si>
  <si>
    <t>Auxiliary electricity consumption (% of output)</t>
  </si>
  <si>
    <t>Forced outage (%)</t>
  </si>
  <si>
    <t>Planned outage (weeks per year)</t>
  </si>
  <si>
    <t>Technical lifetime (years)</t>
  </si>
  <si>
    <t>[3], [8], [9]</t>
  </si>
  <si>
    <t>Construction time (years)</t>
  </si>
  <si>
    <t>Regulation ability</t>
  </si>
  <si>
    <t>Idle to full discharge (sec)</t>
  </si>
  <si>
    <t>G</t>
  </si>
  <si>
    <t>Full charge to full discharge (sec)</t>
  </si>
  <si>
    <t xml:space="preserve">Financial data                                 </t>
  </si>
  <si>
    <t>Specific investment (MUSD2020 per MWh)</t>
  </si>
  <si>
    <t xml:space="preserve">  -Energy component (MUSD2020/MWh)</t>
  </si>
  <si>
    <t>B</t>
  </si>
  <si>
    <t xml:space="preserve">  -Capacity component (MUSD2020/MW)</t>
  </si>
  <si>
    <t>C</t>
  </si>
  <si>
    <t xml:space="preserve">  -Other project costs (MUSD/MWh)</t>
  </si>
  <si>
    <t>[9]</t>
  </si>
  <si>
    <t>D</t>
  </si>
  <si>
    <t>Variable O&amp;M (USD2020/MWh/year)</t>
  </si>
  <si>
    <t>E</t>
  </si>
  <si>
    <t xml:space="preserve">Technology specific data                                 </t>
  </si>
  <si>
    <t>Specific investment ((MUSD2020/MW)</t>
  </si>
  <si>
    <t>F</t>
  </si>
  <si>
    <t>Notes</t>
  </si>
  <si>
    <t>A</t>
  </si>
  <si>
    <t>This data is interpreted within the IRENA tool as: "Total Invest per usable kWh storage", and is verifiable as a result of : Energy Storage + Power Conversion/Usable Storage Capacity.</t>
  </si>
  <si>
    <t>This data is interpreted within the IRENA tool as: "Energy Installation cost".</t>
  </si>
  <si>
    <t>This data is interpreted within the IRENA tool as: "Power Installation cost".</t>
  </si>
  <si>
    <t>This data is interpreted within the IRENA tool  as a result of : Maintenance/Installed conversion Power</t>
  </si>
  <si>
    <t>References</t>
  </si>
  <si>
    <t>IRENA (2017). Electricity storage and renewables: Costs and markets to 2030. Cost of service tool. Available in: https://www.irena.org/publications/2017/Oct/Electricity-storage-and-renewables-costs-and-markets</t>
  </si>
  <si>
    <t>[2]</t>
  </si>
  <si>
    <t>Huang, Y., Keatley, P., Chen, H. S., Zhang, X. J., Rolfe, A., &amp; Hewitt, N. J. (2018). Techno-economic study of compressed air energy storage systems for the grid integration of wind power. International Journal of Energy Research, 42(2), 559–569. https://doi.org/10.1002/er.3840</t>
  </si>
  <si>
    <t>Danish Energy Agency. (2019). Technogy Data for Energy Storage. Copenhagen, Denmark. Retrieved from https://ens.dk/sites/ens.dk/files/Analyser/technology_data_catalogue_for_energy_storage.pdf</t>
  </si>
  <si>
    <t>[4]</t>
  </si>
  <si>
    <t>Kaldemeyer, C., Boysen, C., &amp; Tuschy, I. (2016). Compressed Air Energy Storage in the German Energy System – Status Quo &amp; Perspectives. Energy Procedia, 99, 298–313. https://doi.org/https://doi.org/10.1016/j.egypro.2016.10.120</t>
  </si>
  <si>
    <t>[5]</t>
  </si>
  <si>
    <t xml:space="preserve">Komarnicky, P., Lombardi, P., Styczynski, Z. (2017). Electric Energy Storage systems. Springer-Verlag GmbH Germany </t>
  </si>
  <si>
    <t>[6]</t>
  </si>
  <si>
    <t>Schmidt et al., Projecting the Future Levelized Cost of Electricity Storage TechnologiesJoule 3, 81–100. January 16, 2019 ª 2018 Elsevier Inc.</t>
  </si>
  <si>
    <t>[7]</t>
  </si>
  <si>
    <t>[8]</t>
  </si>
  <si>
    <t>IRENA, Battery storage technology improvements and cost reductions to 2030: A Deep Dive, March 2017, https://www.irena.org/-/media/Files/IRENA/Agency/Events/2017/Mar/15/2017_Kairies_Battery_Cost_and_Performance_01.pd</t>
  </si>
  <si>
    <t>[10]</t>
  </si>
  <si>
    <t>Technical Data</t>
  </si>
  <si>
    <t>Reference</t>
  </si>
  <si>
    <t>Other Project Costs (MUSD/MWh)</t>
  </si>
  <si>
    <t>2020 (Uncertainty)</t>
  </si>
  <si>
    <t>2050 (Uncertainty)</t>
  </si>
  <si>
    <t>Exchange ratio 2020</t>
  </si>
  <si>
    <t>Exchange ratio 2030</t>
  </si>
  <si>
    <t>Exchange ratio 2050</t>
  </si>
  <si>
    <t>Year</t>
  </si>
  <si>
    <t>Lower (%)</t>
  </si>
  <si>
    <t>Upper (%)</t>
  </si>
  <si>
    <t>If a CAES plant is operated as a hot spinning reserve, it can  reach the maximum capacity within a few minutes. The emergency startup times from cold conditions at the Huntorf and McIntosh plants are about 5 minutes. Their normal startup times are about 10 to 12 minutes [3]</t>
  </si>
  <si>
    <t>Fixed O&amp;M (kUSD2020/MW/year)</t>
  </si>
  <si>
    <t>Variable O&amp;M cost can vary depending on the gas price in case of a CAES plant supported by a gas turbine.</t>
  </si>
  <si>
    <t>Lifetime (total number of cycles)</t>
  </si>
  <si>
    <t>ABB</t>
  </si>
  <si>
    <t>ESC</t>
  </si>
  <si>
    <t>OCO</t>
  </si>
  <si>
    <t>ICO</t>
  </si>
  <si>
    <t>RTE</t>
  </si>
  <si>
    <t>CE</t>
  </si>
  <si>
    <t>DE</t>
  </si>
  <si>
    <t>ELS</t>
  </si>
  <si>
    <t>FO</t>
  </si>
  <si>
    <t>PO</t>
  </si>
  <si>
    <t>TL</t>
  </si>
  <si>
    <t>CT</t>
  </si>
  <si>
    <t>RTI</t>
  </si>
  <si>
    <t>SI</t>
  </si>
  <si>
    <t>EC</t>
  </si>
  <si>
    <t>CC</t>
  </si>
  <si>
    <t>OPC</t>
  </si>
  <si>
    <t>FOM</t>
  </si>
  <si>
    <t>VOM</t>
  </si>
  <si>
    <t>NOTE</t>
  </si>
  <si>
    <t>The obtainable ramping rate is likely to decrease after application of thermal energy storage. This is because  the heat must be delivered to the storage material, which is a process that cannot be controlled independently.</t>
  </si>
  <si>
    <t>Año</t>
  </si>
  <si>
    <t>F, G</t>
  </si>
  <si>
    <t>Y'=1/Y</t>
  </si>
  <si>
    <t>XY'</t>
  </si>
  <si>
    <t>X2</t>
  </si>
  <si>
    <t>Suma</t>
  </si>
  <si>
    <t>n</t>
  </si>
  <si>
    <t>Prom</t>
  </si>
  <si>
    <t>y=1/(A+Bx)</t>
  </si>
  <si>
    <t>y</t>
  </si>
  <si>
    <t>x</t>
  </si>
  <si>
    <t>Delta years</t>
  </si>
  <si>
    <t>DEA</t>
  </si>
  <si>
    <t>Est. Learning curve</t>
  </si>
  <si>
    <t>start</t>
  </si>
  <si>
    <t>Approximation of Capacity Component (MUSD/MW)</t>
  </si>
  <si>
    <t>Explanation: The learning curve approach is not dependent simply on the years passing, but on technology development. Here it is assumed, that the growth in potential capacity is linear over time, i.e. compared to the amount of years passing. This is only a simplification, as technology generally matures dependent on their actual construction and implementation. But since the components that CAES consists of are prone to individual technology development, you can still use this approach as simplified regression. Generally, a learning rate factor of 10% is applied for non-emerging technologies. Here, a factor lower than this, i.e. 7.6%, leads to a good acceptable fit, which can be explained by the strong maturity of the capacity components (compressor &amp; generator etc.) used by CAES.</t>
  </si>
  <si>
    <t>Prodecure followed to determine the projection</t>
  </si>
  <si>
    <t>[1] [3]</t>
  </si>
  <si>
    <t>1. The uncertainty is calculated with the similar numerical behaviour from [3]. 2. The exchange ratio for 2030 is estimated by linear regression between the exchange ratio 2020 and 2050.</t>
  </si>
  <si>
    <t>[11]</t>
  </si>
  <si>
    <r>
      <t xml:space="preserve">Gustavsson, J. (2016). </t>
    </r>
    <r>
      <rPr>
        <i/>
        <sz val="13"/>
        <color theme="1"/>
        <rFont val="Montserrat Medium"/>
        <family val="3"/>
      </rPr>
      <t>Energy Storage Technology Comparison</t>
    </r>
    <r>
      <rPr>
        <sz val="13"/>
        <color theme="1"/>
        <rFont val="Montserrat Medium"/>
        <family val="3"/>
      </rPr>
      <t>. KTH Industrial Engineering and Management. Retrieved from http://www.diva-portal.org/smash/get/diva2:953046/FULLTEXT01.pdf</t>
    </r>
  </si>
  <si>
    <r>
      <t xml:space="preserve">Diaz-Gonzalez, F., Sumper, A., &amp; Gomis-Bellmunt, O. (2016). Energy Storage Technologies. In </t>
    </r>
    <r>
      <rPr>
        <i/>
        <sz val="12"/>
        <color theme="1"/>
        <rFont val="Montserrat Medium"/>
        <family val="3"/>
      </rPr>
      <t>Energy Storage in Power Systems</t>
    </r>
    <r>
      <rPr>
        <sz val="12"/>
        <color theme="1"/>
        <rFont val="Montserrat Medium"/>
        <family val="3"/>
      </rPr>
      <t xml:space="preserve"> (pp. 93–141). John Wiley &amp; Sons, Ltd. https://doi.org/10.1002/9781118971291.ch4</t>
    </r>
  </si>
  <si>
    <r>
      <t xml:space="preserve">EASE/EERA. (2013). </t>
    </r>
    <r>
      <rPr>
        <i/>
        <sz val="13"/>
        <color theme="1"/>
        <rFont val="Montserrat Medium"/>
        <family val="3"/>
      </rPr>
      <t>European Energy Storage Technology Development Roadmap Toward 2030</t>
    </r>
    <r>
      <rPr>
        <sz val="13"/>
        <color theme="1"/>
        <rFont val="Montserrat Medium"/>
        <family val="3"/>
      </rPr>
      <t>. Retrieved from https://www.eera-set.eu/wp-content/uploads/148885-EASE-recommendations-Roadmap-04.pdf</t>
    </r>
  </si>
  <si>
    <r>
      <t xml:space="preserve">Gustavsson, J. (2016). </t>
    </r>
    <r>
      <rPr>
        <i/>
        <sz val="10"/>
        <color theme="1"/>
        <rFont val="Montserrat Medium"/>
        <family val="3"/>
      </rPr>
      <t>Energy Storage Technology Comparison</t>
    </r>
    <r>
      <rPr>
        <sz val="10"/>
        <color theme="1"/>
        <rFont val="Montserrat Medium"/>
        <family val="3"/>
      </rPr>
      <t>. KTH Industrial Engineering and Management. Retrieved from http://www.diva-portal.org/smash/get/diva2:953046/FULLTEXT01.pdf</t>
    </r>
  </si>
  <si>
    <r>
      <t xml:space="preserve">Diaz-Gonzalez, F., Sumper, A., &amp; Gomis-Bellmunt, O. (2016). Energy Storage Technologies. In </t>
    </r>
    <r>
      <rPr>
        <i/>
        <sz val="10"/>
        <color theme="1"/>
        <rFont val="Montserrat Medium"/>
        <family val="3"/>
      </rPr>
      <t>Energy Storage in Power Systems</t>
    </r>
    <r>
      <rPr>
        <sz val="10"/>
        <color theme="1"/>
        <rFont val="Montserrat Medium"/>
        <family val="3"/>
      </rPr>
      <t xml:space="preserve"> (pp. 93–141). John Wiley &amp; Sons, Ltd. https://doi.org/10.1002/9781118971291.ch4</t>
    </r>
  </si>
  <si>
    <r>
      <t xml:space="preserve">EASE/EERA. (2013). </t>
    </r>
    <r>
      <rPr>
        <i/>
        <sz val="10"/>
        <color theme="1"/>
        <rFont val="Montserrat Medium"/>
        <family val="3"/>
      </rPr>
      <t>European Energy Storage Technology Development Roadmap Toward 2030</t>
    </r>
    <r>
      <rPr>
        <sz val="10"/>
        <color theme="1"/>
        <rFont val="Montserrat Medium"/>
        <family val="3"/>
      </rPr>
      <t>. Retrieved from https://www.eera-set.eu/wp-content/uploads/148885-EASE-recommendations-Roadmap-04.pdf</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</si>
  <si>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</si>
  <si>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</si>
  <si>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</si>
  <si>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</si>
  <si>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</si>
  <si>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</si>
  <si>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</si>
  <si>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</si>
  <si>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</si>
  <si>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</si>
  <si>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</si>
  <si>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</si>
  <si>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</si>
  <si>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Specific Investment </t>
    </r>
    <r>
      <rPr>
        <sz val="8"/>
        <color theme="1"/>
        <rFont val="Montserrat Medium"/>
        <family val="3"/>
      </rPr>
      <t>(MUSD2015 per MWh)</t>
    </r>
  </si>
  <si>
    <r>
      <t xml:space="preserve">Energy Component </t>
    </r>
    <r>
      <rPr>
        <sz val="8"/>
        <color theme="1"/>
        <rFont val="Montserrat Medium"/>
        <family val="3"/>
      </rPr>
      <t>(MUSD2015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</si>
  <si>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</si>
  <si>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</si>
  <si>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(MUSD2020/MWh/year)</t>
    </r>
  </si>
  <si>
    <r>
      <t xml:space="preserve">Specific Investment </t>
    </r>
    <r>
      <rPr>
        <sz val="10"/>
        <color theme="1"/>
        <rFont val="Montserrat Medium"/>
        <family val="3"/>
      </rPr>
      <t>(MUSD2020 per MW)</t>
    </r>
  </si>
  <si>
    <t>1. The trend of the data for these parameters (in this case constant) was identified in reference [3] for CAES. 
2. It is considered these parameters will not have a variation in the period 2020-2050 due it technological maturity.</t>
  </si>
  <si>
    <t>1. The trend of the data for these parameters (in this case exponential decrease) was identified in reference [1] for CAES. 
2. This data is interpreted within the IRENA tool as "Power installation cost" 
3. The data of years 2016, 2020, 2025, and 2030 was obtained from [1]. 
4. See the exponential projection called 16_CC. 5. The hyperbolic projection was for 2050 by learning curve</t>
  </si>
  <si>
    <t>Capacity Component (MUSD2015 per MW)</t>
  </si>
  <si>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</si>
  <si>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</si>
  <si>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 xml:space="preserve">Input capacity for one unit </t>
    </r>
    <r>
      <rPr>
        <sz val="8"/>
        <color theme="1"/>
        <rFont val="Montserrat Medium"/>
        <family val="3"/>
      </rPr>
      <t>(MW)</t>
    </r>
  </si>
  <si>
    <r>
      <t xml:space="preserve">Round trip efficiency </t>
    </r>
    <r>
      <rPr>
        <sz val="8"/>
        <color theme="1"/>
        <rFont val="Montserrat Medium"/>
        <family val="3"/>
      </rPr>
      <t>(%)</t>
    </r>
  </si>
  <si>
    <r>
      <t xml:space="preserve"> - 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</si>
  <si>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</si>
  <si>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</si>
  <si>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</si>
  <si>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</si>
  <si>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</si>
  <si>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Specific investment </t>
    </r>
    <r>
      <rPr>
        <sz val="8"/>
        <color theme="1"/>
        <rFont val="Montserrat Medium"/>
        <family val="3"/>
      </rPr>
      <t>(MUSD2020 per MWh)</t>
    </r>
  </si>
  <si>
    <r>
      <t xml:space="preserve">  -Energy component </t>
    </r>
    <r>
      <rPr>
        <sz val="8"/>
        <color theme="1"/>
        <rFont val="Montserrat Medium"/>
        <family val="3"/>
      </rPr>
      <t>(MUSD2020/MWh)</t>
    </r>
  </si>
  <si>
    <r>
      <t xml:space="preserve">  -Capacity component </t>
    </r>
    <r>
      <rPr>
        <sz val="8"/>
        <color theme="1"/>
        <rFont val="Montserrat Medium"/>
        <family val="3"/>
      </rPr>
      <t>(MUSD2020/MW)</t>
    </r>
  </si>
  <si>
    <r>
      <t xml:space="preserve">  -Other project costs </t>
    </r>
    <r>
      <rPr>
        <sz val="8"/>
        <color theme="1"/>
        <rFont val="Montserrat Medium"/>
        <family val="3"/>
      </rPr>
      <t>(MUSD/MWh)</t>
    </r>
  </si>
  <si>
    <r>
      <t xml:space="preserve">Variable O&amp;M </t>
    </r>
    <r>
      <rPr>
        <sz val="8"/>
        <color theme="1"/>
        <rFont val="Montserrat Medium"/>
        <family val="3"/>
      </rPr>
      <t>(USD2020/MWh/year)</t>
    </r>
  </si>
  <si>
    <r>
      <t xml:space="preserve">Specific investment </t>
    </r>
    <r>
      <rPr>
        <sz val="8"/>
        <color theme="1"/>
        <rFont val="Montserrat Medium"/>
        <family val="3"/>
      </rPr>
      <t>(MUSD2020 per MW)</t>
    </r>
  </si>
  <si>
    <t>1. The uncertainty for these parameters has the same behaviour  to [1] because the design is based on the same operational capacities of the energy storage system.
2. This data is interpreted within the IRENA tool as "Usable Storage Capacity" and "Installed Storage Power". 
3. The uncertainty is zero percentage because the CAES is a technology maturity.</t>
  </si>
  <si>
    <r>
      <t xml:space="preserve"> - </t>
    </r>
    <r>
      <rPr>
        <b/>
        <i/>
        <sz val="8"/>
        <color theme="1"/>
        <rFont val="Montserrat Medium"/>
        <family val="3"/>
      </rPr>
      <t>Charge efficiency (%)</t>
    </r>
  </si>
  <si>
    <t>1. The uncertainty for this parameter has the same behaviour to [1] because the design is based on the same operational capacities of the energy storage system. 
2. This data is interpreted within the IRENA tool as "Self-discharge"</t>
  </si>
  <si>
    <t>1. The uncertainty for this parameter has the same behaviour  to [9] because the design is based on the same operational capacities of the energy storage system. 
2. The uncertainty is zero percentage because the CAES is a technology maturity.</t>
  </si>
  <si>
    <t>1. The uncertainty for these parameters has the same behaviour to [1] because the design is based on the same operational capacities of the energy storage system. 
2. This data is interpreted within the IRENA tool as "Energy installation cost" and "Power installation cost"</t>
  </si>
  <si>
    <r>
      <t xml:space="preserve">No se ha nombrado las ecuaciones de las hojas </t>
    </r>
    <r>
      <rPr>
        <b/>
        <sz val="11"/>
        <color theme="1"/>
        <rFont val="Montserrat Medium"/>
        <family val="3"/>
      </rPr>
      <t>20_FOM, 21_VOM, 22_SI, URTI_L, URTI_U,</t>
    </r>
    <r>
      <rPr>
        <sz val="11"/>
        <color theme="1"/>
        <rFont val="Montserrat Medium"/>
        <family val="3"/>
      </rPr>
      <t xml:space="preserve"> donde las utiliza?? 
Si el primer paso fue revisar como se comportan los datos en un documento, tiene que verificaarse que los datos que se estan incluyendo correspondan con eso que se dice. </t>
    </r>
  </si>
  <si>
    <t>A que parametro corresponde esta tabla??</t>
  </si>
  <si>
    <t>1. The trend of the data for these parameters (in this case constant) was identified in reference [1] for CAES. 
2. This data is interpreted within the IRENA tool as "Usable Storage Capacity" and "Installed Storage". 
3. It is considered these parameters will not have a variation in the period 2020-2050 due it technological maturity.</t>
  </si>
  <si>
    <t>Hiperbolic regression of Capacity component</t>
  </si>
  <si>
    <r>
      <t xml:space="preserve">1. The uncertainty for these parameters has the same behaviour  to [11] because the design is based on the same operational capacities of the energy storage system, </t>
    </r>
    <r>
      <rPr>
        <b/>
        <sz val="10"/>
        <color theme="1"/>
        <rFont val="Montserrat Medium"/>
        <family val="3"/>
      </rPr>
      <t>see Table A2</t>
    </r>
    <r>
      <rPr>
        <sz val="10"/>
        <color theme="1"/>
        <rFont val="Montserrat Medium"/>
        <family val="3"/>
      </rPr>
      <t xml:space="preserve"> of this reference</t>
    </r>
  </si>
  <si>
    <t>1. The trend of the data is similar the reference [3].   2. The data of years 2015, 2020, 2030, and 2050 was obtained from [3]</t>
  </si>
  <si>
    <t>1. The trend of the data is similar the reference [3].   2. The data of years 2015, 2020, 2030, and 2050 was obtained from [3].</t>
  </si>
  <si>
    <t>1. The trend of the data for these parameters (in this case exponential decrease) was identified in reference [1] for CAES.   2. This data is interpreted within the IRENA tool as "Energy installation cost" 
3. The data of years 2016, 2020, 2025, and 2030 was obtained from [1]. 
4. See the exponential projection called 15_EC</t>
  </si>
  <si>
    <t>1. The data obtained for year 2020 was obtained from [9], the trend is similar the reference [3] (in this case constant).   2. It is considered this parameter will not have a variation in the period 2020-2050 due it technological maturity.</t>
  </si>
  <si>
    <t>1. The data obtained for year 2020 was obtained from [3], the trend is similar the reference [3] (in this case constant).   2. It is considered this parameter will not have a variation in the period 2020-2050 due it technological maturity.</t>
  </si>
  <si>
    <t>1. The trend of the data for these parameters (in this case exponential growth) was identified in reference [3] for CAES.
2. This technical data was calculated with an equation for Round Trip Efficiency.   3. In the chapter of Introduccion of the Catalogue, it is defined the equation of Round Trip Efficiency.</t>
  </si>
  <si>
    <t>1. The uncertainty for these parameters has the same behaviour to [3] to keep the consistency between data.</t>
  </si>
  <si>
    <r>
      <t xml:space="preserve">1. The uncertainty was calculated with an equation </t>
    </r>
    <r>
      <rPr>
        <b/>
        <sz val="10"/>
        <color theme="1"/>
        <rFont val="Montserrat Medium"/>
        <family val="3"/>
      </rPr>
      <t>(see CAES sheet)</t>
    </r>
    <r>
      <rPr>
        <sz val="10"/>
        <color theme="1"/>
        <rFont val="Montserrat Medium"/>
        <family val="3"/>
      </rPr>
      <t>. 2. This technical data was calculated with an equation for Specific Investment.   3. In the chapter of Introduccion of the Catalogue, it is defined the equation of Specific Investment.</t>
    </r>
  </si>
  <si>
    <r>
      <t xml:space="preserve">1. This technical data was calculated with an equation, </t>
    </r>
    <r>
      <rPr>
        <b/>
        <sz val="8"/>
        <color theme="1"/>
        <rFont val="Montserrat Medium"/>
        <family val="3"/>
      </rPr>
      <t>see CAES sheet</t>
    </r>
    <r>
      <rPr>
        <sz val="8"/>
        <color theme="1"/>
        <rFont val="Montserrat Medium"/>
        <family val="3"/>
      </rPr>
      <t>. 2. This technical data was calculated with an equation for Specific Investment.   3. In the chapter of Introduccion of the Catalogue, it is defined the equation of Specific Investment.</t>
    </r>
  </si>
  <si>
    <t xml:space="preserve">1. This data was calculated with a Specific Investment equation (see CAES sheet). 2. </t>
  </si>
  <si>
    <t>1. The uncertainty was calculated with an equation for Round Trip Efficiency.   2. In the chapter of Introduccion of the Catalogue, it is defined the equation of Round Trip Efficiency.</t>
  </si>
  <si>
    <r>
      <t xml:space="preserve"> - </t>
    </r>
    <r>
      <rPr>
        <i/>
        <sz val="9"/>
        <color theme="1"/>
        <rFont val="Montserrat Medium"/>
        <family val="3"/>
      </rPr>
      <t>Charge efficiency (%)</t>
    </r>
  </si>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</sst>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5" formatCode="0.0"/>
    <numFmt numFmtId="166" formatCode="_ * #,##0.00_ ;_ * \-#,##0.00_ ;_ * &quot;-&quot;??_ ;_ @_ "/>
    <numFmt numFmtId="167" formatCode="0.0000"/>
    <numFmt numFmtId="168" formatCode="0.000000"/>
  </numFmts>
  <fonts count="39" x14ac:knownFonts="1">
    <font>
      <sz val="11"/>
      <color theme="1"/>
      <name val="Calibri"/>
      <family val="2"/>
      <scheme val="minor"/>
    </font>
    <font>
      <sz val="11"/>
      <color theme="1"/>
      <name val="Calibri"/>
      <family val="2"/>
      <scheme val="minor"/>
    </font>
    <font>
      <sz val="9"/>
      <name val="Arial"/>
      <family val="2"/>
    </font>
    <font>
      <b/>
      <sz val="7"/>
      <color theme="1"/>
      <name val="Arial"/>
      <family val="2"/>
    </font>
    <font>
      <sz val="12"/>
      <color theme="1"/>
      <name val="Calibri"/>
      <family val="2"/>
      <scheme val="minor"/>
    </font>
    <font>
      <sz val="7"/>
      <color theme="1"/>
      <name val="Arial"/>
      <family val="2"/>
    </font>
    <font>
      <b/>
      <sz val="9"/>
      <name val="Arial"/>
      <family val="2"/>
    </font>
    <font>
      <u/>
      <sz val="10"/>
      <color indexed="12"/>
      <name val="Arial"/>
      <family val="2"/>
    </font>
    <font>
      <sz val="11"/>
      <color indexed="12"/>
      <name val="Arial"/>
      <family val="2"/>
    </font>
    <font>
      <b/>
      <sz val="11"/>
      <color rgb="FFFF0000"/>
      <name val="Calibri"/>
      <family val="2"/>
      <scheme val="minor"/>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11"/>
      <color theme="1"/>
      <name val="Calibri"/>
      <family val="2"/>
      <scheme val="minor"/>
    </font>
    <font>
      <b/>
      <sz val="8"/>
      <color theme="1"/>
      <name val="Montserrat Medium"/>
      <family val="3"/>
    </font>
    <font>
      <sz val="8"/>
      <color theme="1"/>
      <name val="Montserrat Medium"/>
      <family val="3"/>
    </font>
    <font>
      <b/>
      <sz val="13"/>
      <name val="Montserrat Medium"/>
      <family val="3"/>
    </font>
    <font>
      <b/>
      <sz val="7"/>
      <color theme="1"/>
      <name val="Montserrat Medium"/>
      <family val="3"/>
    </font>
    <font>
      <sz val="11"/>
      <color theme="1"/>
      <name val="Montserrat Medium"/>
      <family val="3"/>
    </font>
    <font>
      <sz val="9"/>
      <name val="Montserrat Medium"/>
      <family val="3"/>
    </font>
    <font>
      <sz val="12"/>
      <color theme="1"/>
      <name val="Montserrat Medium"/>
      <family val="3"/>
    </font>
    <font>
      <i/>
      <sz val="13"/>
      <color theme="1"/>
      <name val="Montserrat Medium"/>
      <family val="3"/>
    </font>
    <font>
      <sz val="13"/>
      <color theme="1"/>
      <name val="Montserrat Medium"/>
      <family val="3"/>
    </font>
    <font>
      <i/>
      <sz val="12"/>
      <color theme="1"/>
      <name val="Montserrat Medium"/>
      <family val="3"/>
    </font>
    <font>
      <sz val="10"/>
      <name val="Montserrat Medium"/>
      <family val="3"/>
    </font>
    <font>
      <sz val="10"/>
      <color theme="1"/>
      <name val="Montserrat Medium"/>
      <family val="3"/>
    </font>
    <font>
      <b/>
      <sz val="10"/>
      <color theme="1"/>
      <name val="Montserrat Medium"/>
      <family val="3"/>
    </font>
    <font>
      <i/>
      <sz val="10"/>
      <color theme="1"/>
      <name val="Montserrat Medium"/>
      <family val="3"/>
    </font>
    <font>
      <sz val="10"/>
      <color rgb="FF000000"/>
      <name val="Montserrat Medium"/>
      <family val="3"/>
    </font>
    <font>
      <b/>
      <sz val="11"/>
      <color theme="1"/>
      <name val="Montserrat Medium"/>
      <family val="3"/>
    </font>
    <font>
      <sz val="9"/>
      <color theme="1"/>
      <name val="Montserrat Medium"/>
      <family val="3"/>
    </font>
    <font>
      <b/>
      <i/>
      <sz val="8"/>
      <color theme="1"/>
      <name val="Montserrat Medium"/>
      <family val="3"/>
    </font>
    <font>
      <b/>
      <sz val="9"/>
      <color theme="1"/>
      <name val="Montserrat Medium"/>
      <family val="3"/>
    </font>
    <font>
      <i/>
      <sz val="9"/>
      <color theme="1"/>
      <name val="Montserrat Medium"/>
      <family val="3"/>
    </font>
    <font>
      <strike/>
      <sz val="9"/>
      <color theme="1"/>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7">
    <xf numFmtId="0" fontId="0" fillId="0" borderId="0" applyFill="0" applyBorder="0" applyProtection="0"/>
    <xf numFmtId="0" fontId="1"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166" fontId="1" fillId="0" borderId="0" applyFont="0" applyFill="0" applyBorder="0" applyAlignment="0" applyProtection="0"/>
    <xf numFmtId="0" fontId="10" fillId="0" borderId="0"/>
    <xf numFmtId="0" fontId="1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2" borderId="4" applyNumberFormat="0" applyAlignment="0" applyProtection="0"/>
    <xf numFmtId="43" fontId="1" fillId="0" borderId="0" applyFont="0" applyFill="0" applyBorder="0" applyAlignment="0" applyProtection="0"/>
    <xf numFmtId="166" fontId="10" fillId="0" borderId="0" applyFont="0" applyFill="0" applyBorder="0" applyAlignment="0" applyProtection="0"/>
    <xf numFmtId="0" fontId="11" fillId="0" borderId="0" applyNumberFormat="0" applyFill="0" applyBorder="0" applyAlignment="0" applyProtection="0"/>
    <xf numFmtId="0" fontId="13" fillId="3" borderId="0" applyNumberFormat="0" applyBorder="0" applyAlignment="0" applyProtection="0"/>
    <xf numFmtId="0" fontId="14" fillId="0" borderId="0"/>
    <xf numFmtId="0" fontId="10" fillId="0" borderId="0"/>
    <xf numFmtId="0" fontId="14" fillId="0" borderId="0"/>
    <xf numFmtId="0" fontId="14" fillId="0" borderId="0"/>
    <xf numFmtId="0" fontId="15" fillId="4" borderId="5" applyNumberFormat="0" applyAlignment="0" applyProtection="0"/>
    <xf numFmtId="0" fontId="10"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6" fillId="0" borderId="6"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24" applyNumberFormat="1" applyFont="1" applyAlignment="1">
      <alignment horizontal="center" vertical="center"/>
    </xf>
    <xf numFmtId="2" fontId="0" fillId="0" borderId="0" xfId="0" applyNumberFormat="1" applyAlignment="1">
      <alignment horizontal="center" vertical="center"/>
    </xf>
    <xf numFmtId="2" fontId="0" fillId="0" borderId="0" xfId="24" applyNumberFormat="1" applyFont="1" applyAlignment="1">
      <alignment horizontal="center" vertical="center"/>
    </xf>
    <xf numFmtId="0" fontId="0" fillId="0" borderId="0" xfId="0" applyAlignment="1">
      <alignment horizontal="center" vertical="center" wrapText="1"/>
    </xf>
    <xf numFmtId="0" fontId="17" fillId="0" borderId="0" xfId="0" applyFont="1" applyAlignment="1">
      <alignment horizontal="center" vertical="center"/>
    </xf>
    <xf numFmtId="0" fontId="19" fillId="0" borderId="1" xfId="0" applyFont="1" applyFill="1" applyBorder="1" applyAlignment="1">
      <alignment horizontal="center" vertical="center" wrapText="1"/>
    </xf>
    <xf numFmtId="0" fontId="32" fillId="0" borderId="0" xfId="0" applyFont="1" applyFill="1" applyBorder="1" applyAlignment="1">
      <alignment horizontal="right"/>
    </xf>
    <xf numFmtId="0" fontId="29" fillId="0" borderId="0" xfId="1" applyFont="1" applyFill="1"/>
    <xf numFmtId="0" fontId="33"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33" fillId="0" borderId="0" xfId="0" applyFont="1" applyAlignment="1">
      <alignment horizontal="left" vertical="center" wrapText="1"/>
    </xf>
    <xf numFmtId="0" fontId="18"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left" vertical="center"/>
    </xf>
    <xf numFmtId="0" fontId="22" fillId="0" borderId="1" xfId="0" applyFont="1" applyBorder="1" applyAlignment="1">
      <alignment horizontal="left" vertical="center"/>
    </xf>
    <xf numFmtId="0" fontId="0" fillId="0" borderId="0" xfId="0" applyFill="1"/>
    <xf numFmtId="0" fontId="9" fillId="0" borderId="0" xfId="0" applyFont="1" applyFill="1"/>
    <xf numFmtId="0" fontId="8" fillId="0" borderId="0" xfId="2" quotePrefix="1" applyFont="1" applyFill="1" applyAlignment="1" applyProtection="1"/>
    <xf numFmtId="0" fontId="6" fillId="0" borderId="0" xfId="0" applyFont="1" applyFill="1"/>
    <xf numFmtId="0" fontId="2" fillId="0" borderId="0" xfId="0" applyFont="1" applyFill="1"/>
    <xf numFmtId="0" fontId="2" fillId="0" borderId="0" xfId="0" applyFont="1" applyFill="1" applyAlignment="1">
      <alignment vertical="top"/>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0" fillId="0" borderId="0" xfId="0" applyFont="1" applyFill="1" applyAlignment="1">
      <alignment horizontal="right" vertical="center"/>
    </xf>
    <xf numFmtId="0" fontId="21" fillId="0" borderId="0" xfId="0" applyFont="1" applyFill="1" applyBorder="1" applyAlignment="1">
      <alignment horizontal="center" vertical="center" wrapText="1"/>
    </xf>
    <xf numFmtId="0" fontId="22" fillId="0" borderId="0" xfId="0" applyFont="1" applyFill="1"/>
    <xf numFmtId="0" fontId="2" fillId="0" borderId="0" xfId="0" applyFont="1" applyFill="1" applyAlignment="1">
      <alignment horizontal="right" vertical="top"/>
    </xf>
    <xf numFmtId="0" fontId="28" fillId="0" borderId="0" xfId="0" applyFont="1" applyFill="1" applyAlignment="1">
      <alignment horizontal="right" vertical="top"/>
    </xf>
    <xf numFmtId="0" fontId="29" fillId="0" borderId="0" xfId="1" applyFont="1" applyFill="1" applyAlignment="1">
      <alignment vertical="center" wrapText="1"/>
    </xf>
    <xf numFmtId="0" fontId="24" fillId="0" borderId="0" xfId="1" applyFont="1" applyFill="1" applyAlignment="1">
      <alignment vertical="center" wrapText="1"/>
    </xf>
    <xf numFmtId="0" fontId="29" fillId="0" borderId="0" xfId="0" applyFont="1" applyFill="1" applyAlignment="1">
      <alignment vertical="center"/>
    </xf>
    <xf numFmtId="0" fontId="22" fillId="0" borderId="0" xfId="0" applyFont="1" applyFill="1" applyAlignment="1">
      <alignment vertical="center"/>
    </xf>
    <xf numFmtId="0" fontId="29" fillId="0" borderId="0" xfId="0" applyFont="1" applyFill="1"/>
    <xf numFmtId="0" fontId="30" fillId="0" borderId="0" xfId="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Fill="1" applyAlignment="1">
      <alignment horizontal="right" vertical="center"/>
    </xf>
    <xf numFmtId="0" fontId="28" fillId="0" borderId="0" xfId="0" applyFont="1" applyFill="1" applyAlignment="1">
      <alignment vertical="top"/>
    </xf>
    <xf numFmtId="0" fontId="29" fillId="0" borderId="0" xfId="15" applyFont="1" applyFill="1"/>
    <xf numFmtId="0" fontId="19" fillId="0" borderId="16" xfId="0" applyFont="1" applyFill="1" applyBorder="1" applyAlignment="1">
      <alignment horizontal="center" vertical="center" wrapText="1"/>
    </xf>
    <xf numFmtId="0" fontId="34" fillId="0" borderId="9" xfId="0" applyFont="1" applyFill="1" applyBorder="1" applyAlignment="1">
      <alignment horizontal="center" vertical="center" wrapText="1"/>
    </xf>
    <xf numFmtId="9" fontId="34" fillId="0" borderId="9" xfId="0" applyNumberFormat="1" applyFont="1" applyFill="1" applyBorder="1" applyAlignment="1">
      <alignment horizontal="center" vertical="center" wrapText="1"/>
    </xf>
    <xf numFmtId="9" fontId="22" fillId="0" borderId="9" xfId="0" applyNumberFormat="1" applyFont="1" applyFill="1" applyBorder="1"/>
    <xf numFmtId="0" fontId="22" fillId="0" borderId="9" xfId="0" applyFont="1" applyFill="1" applyBorder="1"/>
    <xf numFmtId="0" fontId="22" fillId="0" borderId="10" xfId="0" applyFont="1" applyFill="1" applyBorder="1"/>
    <xf numFmtId="0" fontId="22" fillId="0" borderId="1" xfId="0" applyFont="1" applyFill="1" applyBorder="1"/>
    <xf numFmtId="0" fontId="22" fillId="0" borderId="3" xfId="0" applyFont="1" applyFill="1" applyBorder="1"/>
    <xf numFmtId="0" fontId="22" fillId="0" borderId="20" xfId="0" applyFont="1" applyFill="1" applyBorder="1"/>
    <xf numFmtId="0" fontId="22" fillId="0" borderId="0" xfId="0" applyFont="1" applyFill="1" applyBorder="1"/>
    <xf numFmtId="0" fontId="22" fillId="0" borderId="14" xfId="0" applyFont="1" applyFill="1" applyBorder="1"/>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Alignment="1">
      <alignment horizontal="center" vertical="center" wrapText="1"/>
    </xf>
    <xf numFmtId="0" fontId="22" fillId="0" borderId="0" xfId="0" applyFont="1" applyFill="1" applyAlignment="1">
      <alignment horizontal="center" vertical="center" wrapText="1"/>
    </xf>
    <xf numFmtId="165" fontId="22" fillId="0" borderId="0" xfId="0" applyNumberFormat="1"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1" fontId="22" fillId="0" borderId="0" xfId="0" applyNumberFormat="1" applyFont="1" applyFill="1" applyAlignment="1">
      <alignment horizontal="center" vertical="center" wrapText="1"/>
    </xf>
    <xf numFmtId="164" fontId="22" fillId="0" borderId="0" xfId="0" applyNumberFormat="1" applyFont="1" applyFill="1" applyAlignment="1">
      <alignment horizontal="center" vertical="center" wrapText="1"/>
    </xf>
    <xf numFmtId="0" fontId="19" fillId="0" borderId="0" xfId="0" applyFont="1" applyFill="1" applyAlignment="1">
      <alignment horizontal="left" vertical="top" wrapText="1"/>
    </xf>
    <xf numFmtId="0" fontId="19" fillId="0" borderId="0" xfId="0" applyFont="1" applyFill="1" applyAlignment="1">
      <alignment vertical="center" wrapText="1"/>
    </xf>
    <xf numFmtId="167" fontId="22" fillId="0" borderId="0" xfId="0" applyNumberFormat="1" applyFont="1" applyFill="1" applyAlignment="1">
      <alignment horizontal="center" vertical="center" wrapText="1"/>
    </xf>
    <xf numFmtId="168" fontId="22" fillId="0" borderId="0" xfId="0" applyNumberFormat="1" applyFont="1" applyFill="1" applyAlignment="1">
      <alignment horizontal="center" vertical="center" wrapText="1"/>
    </xf>
    <xf numFmtId="2" fontId="22" fillId="0" borderId="0" xfId="0" applyNumberFormat="1" applyFont="1" applyFill="1" applyAlignment="1">
      <alignment horizontal="center" vertical="center" wrapText="1"/>
    </xf>
    <xf numFmtId="0" fontId="22" fillId="0" borderId="0" xfId="0" applyFont="1" applyFill="1" applyAlignment="1">
      <alignment horizontal="left"/>
    </xf>
    <xf numFmtId="0" fontId="22" fillId="0" borderId="0" xfId="0" applyFont="1" applyFill="1" applyAlignment="1">
      <alignment horizontal="left" vertical="top" wrapText="1"/>
    </xf>
    <xf numFmtId="0" fontId="33" fillId="0" borderId="0" xfId="0" applyFont="1" applyFill="1" applyAlignment="1">
      <alignment horizontal="center" vertical="center"/>
    </xf>
    <xf numFmtId="0" fontId="29" fillId="0" borderId="1" xfId="0" applyFont="1" applyFill="1" applyBorder="1" applyAlignment="1">
      <alignment horizontal="center"/>
    </xf>
    <xf numFmtId="0" fontId="30" fillId="0" borderId="1" xfId="0" applyFont="1" applyFill="1" applyBorder="1" applyAlignment="1">
      <alignment horizontal="center" vertical="center"/>
    </xf>
    <xf numFmtId="0" fontId="29" fillId="0" borderId="1" xfId="0" applyFont="1" applyFill="1" applyBorder="1" applyAlignment="1">
      <alignment horizontal="center" vertical="center"/>
    </xf>
    <xf numFmtId="167"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xf>
    <xf numFmtId="167" fontId="29" fillId="0" borderId="1" xfId="0" applyNumberFormat="1" applyFont="1" applyFill="1" applyBorder="1" applyAlignment="1">
      <alignment horizontal="center"/>
    </xf>
    <xf numFmtId="164" fontId="29" fillId="0" borderId="1" xfId="0" applyNumberFormat="1" applyFont="1" applyFill="1" applyBorder="1" applyAlignment="1">
      <alignment horizontal="center"/>
    </xf>
    <xf numFmtId="167" fontId="22" fillId="0" borderId="0" xfId="0" applyNumberFormat="1" applyFont="1" applyFill="1" applyAlignment="1">
      <alignment horizontal="center"/>
    </xf>
    <xf numFmtId="0" fontId="33" fillId="0" borderId="8" xfId="0" applyFont="1" applyFill="1" applyBorder="1"/>
    <xf numFmtId="0" fontId="22" fillId="0" borderId="11" xfId="0" applyFont="1" applyFill="1" applyBorder="1"/>
    <xf numFmtId="0" fontId="22" fillId="0" borderId="13" xfId="0" applyFont="1" applyFill="1" applyBorder="1"/>
    <xf numFmtId="0" fontId="22" fillId="0" borderId="0" xfId="0" applyFont="1" applyFill="1" applyAlignment="1">
      <alignment wrapText="1"/>
    </xf>
    <xf numFmtId="0" fontId="23" fillId="0" borderId="0" xfId="0" applyFont="1" applyFill="1" applyAlignment="1">
      <alignment horizontal="left" vertical="top"/>
    </xf>
    <xf numFmtId="0" fontId="22" fillId="0" borderId="0" xfId="1" applyFont="1" applyFill="1"/>
    <xf numFmtId="0" fontId="22" fillId="0" borderId="0" xfId="0" applyFont="1" applyFill="1" applyAlignment="1">
      <alignment horizontal="left" vertical="center"/>
    </xf>
    <xf numFmtId="0" fontId="0" fillId="0" borderId="0" xfId="0" applyFill="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0" fillId="0" borderId="0" xfId="0" applyFill="1" applyAlignment="1">
      <alignment vertic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4" fillId="0" borderId="0" xfId="1" applyFont="1" applyFill="1" applyAlignment="1">
      <alignment horizontal="justify" vertical="center" wrapText="1"/>
    </xf>
    <xf numFmtId="0" fontId="0" fillId="0" borderId="0" xfId="0" applyFill="1" applyAlignment="1">
      <alignmen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33" fillId="0" borderId="0" xfId="0" applyFont="1" applyFill="1" applyAlignment="1">
      <alignment vertical="center" wrapText="1"/>
    </xf>
    <xf numFmtId="0" fontId="19" fillId="0" borderId="25" xfId="0" applyFont="1" applyFill="1" applyBorder="1" applyAlignment="1">
      <alignment horizontal="center" vertical="center" wrapText="1"/>
    </xf>
    <xf numFmtId="0" fontId="33" fillId="0" borderId="0" xfId="0" applyFont="1" applyFill="1" applyAlignment="1">
      <alignment horizontal="center" vertical="center" wrapText="1"/>
    </xf>
    <xf numFmtId="0" fontId="29" fillId="0" borderId="1" xfId="0" applyFont="1" applyBorder="1" applyAlignment="1">
      <alignment horizontal="left" vertical="top" wrapText="1"/>
    </xf>
    <xf numFmtId="0" fontId="17" fillId="0" borderId="0" xfId="0" applyFont="1" applyAlignment="1">
      <alignment horizontal="center" vertical="center"/>
    </xf>
    <xf numFmtId="0" fontId="0" fillId="0" borderId="0" xfId="0" applyAlignment="1">
      <alignment horizontal="center" vertical="center" wrapText="1"/>
    </xf>
    <xf numFmtId="0" fontId="33" fillId="0" borderId="1" xfId="0" applyFont="1" applyBorder="1" applyAlignment="1">
      <alignment horizontal="center" vertical="center"/>
    </xf>
    <xf numFmtId="0" fontId="33" fillId="0" borderId="0" xfId="0" applyFont="1" applyAlignment="1">
      <alignment horizontal="center" vertical="center"/>
    </xf>
    <xf numFmtId="0" fontId="0" fillId="0" borderId="0" xfId="0" applyFill="1" applyAlignment="1">
      <alignment horizontal="center" vertical="center"/>
    </xf>
    <xf numFmtId="0" fontId="29" fillId="0" borderId="17" xfId="0" applyFont="1" applyBorder="1" applyAlignment="1">
      <alignment horizontal="center" vertical="top" wrapText="1"/>
    </xf>
    <xf numFmtId="0" fontId="29" fillId="0" borderId="18" xfId="0" applyFont="1" applyBorder="1" applyAlignment="1">
      <alignment horizontal="center" vertical="top"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0" fontId="29" fillId="0" borderId="23" xfId="0" applyFont="1" applyBorder="1" applyAlignment="1">
      <alignment horizontal="center" vertical="top" wrapText="1"/>
    </xf>
    <xf numFmtId="0" fontId="29" fillId="0" borderId="24" xfId="0" applyFont="1" applyBorder="1" applyAlignment="1">
      <alignment horizontal="center" vertical="top"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 xfId="0" applyFont="1" applyBorder="1" applyAlignment="1">
      <alignment horizontal="center" vertical="center" wrapText="1"/>
    </xf>
    <xf numFmtId="0" fontId="18" fillId="0" borderId="1" xfId="0" applyFont="1" applyBorder="1" applyAlignment="1">
      <alignment vertical="center" wrapText="1"/>
    </xf>
    <xf numFmtId="0" fontId="36" fillId="0" borderId="1" xfId="0" applyFont="1" applyFill="1" applyBorder="1" applyAlignment="1">
      <alignment vertical="top" wrapText="1"/>
    </xf>
    <xf numFmtId="0" fontId="36"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 xfId="0" applyFont="1" applyFill="1" applyBorder="1" applyAlignment="1">
      <alignment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0" fontId="37" fillId="0" borderId="1" xfId="0" applyFont="1" applyFill="1" applyBorder="1" applyAlignment="1">
      <alignment vertical="center" wrapText="1"/>
    </xf>
    <xf numFmtId="0" fontId="34" fillId="0" borderId="1" xfId="15" applyFont="1" applyFill="1" applyBorder="1" applyAlignment="1">
      <alignment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vertical="center" wrapText="1"/>
    </xf>
    <xf numFmtId="164" fontId="34"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165" fontId="34" fillId="0" borderId="1" xfId="0" applyNumberFormat="1" applyFont="1" applyFill="1" applyBorder="1" applyAlignment="1">
      <alignment horizontal="center" vertical="center" wrapText="1"/>
    </xf>
  </cellXfs>
  <cellStyles count="27">
    <cellStyle name="Comma 2" xfId="3"/>
    <cellStyle name="Comma 2 2" xfId="25"/>
    <cellStyle name="Comma 3" xfId="4"/>
    <cellStyle name="Comma0 - Type3" xfId="5"/>
    <cellStyle name="Fixed2 - Type2" xfId="6"/>
    <cellStyle name="Hipervínculo" xfId="2" builtinId="8"/>
    <cellStyle name="Hyperlink 2" xfId="7"/>
    <cellStyle name="Hyperlink 3" xfId="8"/>
    <cellStyle name="Input 2" xfId="9"/>
    <cellStyle name="Komma 2" xfId="10"/>
    <cellStyle name="Komma 2 2" xfId="26"/>
    <cellStyle name="Komma 3" xfId="11"/>
    <cellStyle name="Link 2" xfId="12"/>
    <cellStyle name="Neutral 2" xfId="13"/>
    <cellStyle name="Normal" xfId="0" builtinId="0"/>
    <cellStyle name="Normal 10" xfId="14"/>
    <cellStyle name="Normal 2" xfId="15"/>
    <cellStyle name="Normal 3" xfId="1"/>
    <cellStyle name="Normal 6" xfId="16"/>
    <cellStyle name="Normal 6 2" xfId="17"/>
    <cellStyle name="Output 2" xfId="18"/>
    <cellStyle name="Percen - Type1" xfId="19"/>
    <cellStyle name="Percent 2" xfId="20"/>
    <cellStyle name="Porcentaje" xfId="24" builtinId="5"/>
    <cellStyle name="Procent 2" xfId="21"/>
    <cellStyle name="Procent 3" xfId="22"/>
    <cellStyle name="Total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8525617132918382E-2"/>
                  <c:y val="0.4511648387958283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Uncertanties!$R$2:$R$3</c:f>
              <c:numCache>
                <c:formatCode>General</c:formatCode>
                <c:ptCount val="2"/>
                <c:pt idx="0">
                  <c:v>2020</c:v>
                </c:pt>
                <c:pt idx="1">
                  <c:v>2050</c:v>
                </c:pt>
              </c:numCache>
            </c:numRef>
          </c:xVal>
          <c:yVal>
            <c:numRef>
              <c:f>Uncertanties!$S$2:$S$3</c:f>
              <c:numCache>
                <c:formatCode>0.00</c:formatCode>
                <c:ptCount val="2"/>
                <c:pt idx="0">
                  <c:v>-0.2857142857142857</c:v>
                </c:pt>
                <c:pt idx="1">
                  <c:v>-0.2</c:v>
                </c:pt>
              </c:numCache>
            </c:numRef>
          </c:yVal>
          <c:smooth val="1"/>
          <c:extLst xmlns:c16r2="http://schemas.microsoft.com/office/drawing/2015/06/chart">
            <c:ext xmlns:c16="http://schemas.microsoft.com/office/drawing/2014/chart" uri="{C3380CC4-5D6E-409C-BE32-E72D297353CC}">
              <c16:uniqueId val="{00000000-3B98-4391-997F-D0598065F9CE}"/>
            </c:ext>
          </c:extLst>
        </c:ser>
        <c:dLbls>
          <c:showLegendKey val="0"/>
          <c:showVal val="0"/>
          <c:showCatName val="0"/>
          <c:showSerName val="0"/>
          <c:showPercent val="0"/>
          <c:showBubbleSize val="0"/>
        </c:dLbls>
        <c:axId val="90619264"/>
        <c:axId val="91163648"/>
      </c:scatterChart>
      <c:valAx>
        <c:axId val="90619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63648"/>
        <c:crosses val="autoZero"/>
        <c:crossBetween val="midCat"/>
      </c:valAx>
      <c:valAx>
        <c:axId val="91163648"/>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19264"/>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537120754034997"/>
                  <c:y val="-7.549463914326340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Uncertanties!$R$2:$R$3</c:f>
              <c:numCache>
                <c:formatCode>General</c:formatCode>
                <c:ptCount val="2"/>
                <c:pt idx="0">
                  <c:v>2020</c:v>
                </c:pt>
                <c:pt idx="1">
                  <c:v>2050</c:v>
                </c:pt>
              </c:numCache>
            </c:numRef>
          </c:xVal>
          <c:yVal>
            <c:numRef>
              <c:f>Uncertanties!$T$2:$T$3</c:f>
              <c:numCache>
                <c:formatCode>0.00</c:formatCode>
                <c:ptCount val="2"/>
                <c:pt idx="0">
                  <c:v>0.42857142857142855</c:v>
                </c:pt>
                <c:pt idx="1">
                  <c:v>0.2</c:v>
                </c:pt>
              </c:numCache>
            </c:numRef>
          </c:yVal>
          <c:smooth val="1"/>
          <c:extLst xmlns:c16r2="http://schemas.microsoft.com/office/drawing/2015/06/chart">
            <c:ext xmlns:c16="http://schemas.microsoft.com/office/drawing/2014/chart" uri="{C3380CC4-5D6E-409C-BE32-E72D297353CC}">
              <c16:uniqueId val="{00000000-5678-4978-9457-64683A8E2F57}"/>
            </c:ext>
          </c:extLst>
        </c:ser>
        <c:dLbls>
          <c:showLegendKey val="0"/>
          <c:showVal val="0"/>
          <c:showCatName val="0"/>
          <c:showSerName val="0"/>
          <c:showPercent val="0"/>
          <c:showBubbleSize val="0"/>
        </c:dLbls>
        <c:axId val="91200896"/>
        <c:axId val="91214976"/>
      </c:scatterChart>
      <c:valAx>
        <c:axId val="9120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214976"/>
        <c:crosses val="autoZero"/>
        <c:crossBetween val="midCat"/>
      </c:valAx>
      <c:valAx>
        <c:axId val="91214976"/>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200896"/>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4786527218774394"/>
                  <c:y val="0.1187116568804164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(Data!$D$1,Data!$F$1,Data!$G$1,Data!$H$1)</c:f>
              <c:numCache>
                <c:formatCode>General</c:formatCode>
                <c:ptCount val="4"/>
                <c:pt idx="0">
                  <c:v>2016</c:v>
                </c:pt>
                <c:pt idx="1">
                  <c:v>2020</c:v>
                </c:pt>
                <c:pt idx="2">
                  <c:v>2025</c:v>
                </c:pt>
                <c:pt idx="3">
                  <c:v>2030</c:v>
                </c:pt>
              </c:numCache>
            </c:numRef>
          </c:xVal>
          <c:yVal>
            <c:numRef>
              <c:f>(Data!$D$15,Data!$F$15,Data!$G$15,Data!$H$15)</c:f>
              <c:numCache>
                <c:formatCode>General</c:formatCode>
                <c:ptCount val="4"/>
                <c:pt idx="0">
                  <c:v>5.2499999999999998E-2</c:v>
                </c:pt>
                <c:pt idx="1">
                  <c:v>4.8099999999999997E-2</c:v>
                </c:pt>
                <c:pt idx="2">
                  <c:v>4.5699999999999998E-2</c:v>
                </c:pt>
                <c:pt idx="3">
                  <c:v>4.4200000000000003E-2</c:v>
                </c:pt>
              </c:numCache>
            </c:numRef>
          </c:yVal>
          <c:smooth val="1"/>
          <c:extLst xmlns:c16r2="http://schemas.microsoft.com/office/drawing/2015/06/chart">
            <c:ext xmlns:c16="http://schemas.microsoft.com/office/drawing/2014/chart" uri="{C3380CC4-5D6E-409C-BE32-E72D297353CC}">
              <c16:uniqueId val="{00000000-1BD8-414A-9A72-51951AF03312}"/>
            </c:ext>
          </c:extLst>
        </c:ser>
        <c:dLbls>
          <c:showLegendKey val="0"/>
          <c:showVal val="0"/>
          <c:showCatName val="0"/>
          <c:showSerName val="0"/>
          <c:showPercent val="0"/>
          <c:showBubbleSize val="0"/>
        </c:dLbls>
        <c:axId val="109220608"/>
        <c:axId val="109222144"/>
      </c:scatterChart>
      <c:valAx>
        <c:axId val="109220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2144"/>
        <c:crosses val="autoZero"/>
        <c:crossBetween val="midCat"/>
      </c:valAx>
      <c:valAx>
        <c:axId val="109222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0608"/>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tx>
            <c:v>IRENA</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0.26864824843918383"/>
                  <c:y val="-4.146890946629704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(Data!$D$1,Data!$F$1,Data!$G$1,Data!$H$1)</c:f>
              <c:numCache>
                <c:formatCode>General</c:formatCode>
                <c:ptCount val="4"/>
                <c:pt idx="0">
                  <c:v>2016</c:v>
                </c:pt>
                <c:pt idx="1">
                  <c:v>2020</c:v>
                </c:pt>
                <c:pt idx="2">
                  <c:v>2025</c:v>
                </c:pt>
                <c:pt idx="3">
                  <c:v>2030</c:v>
                </c:pt>
              </c:numCache>
            </c:numRef>
          </c:xVal>
          <c:yVal>
            <c:numRef>
              <c:f>(Data!$D$16,Data!$F$16,Data!$G$16,Data!$H$16)</c:f>
              <c:numCache>
                <c:formatCode>General</c:formatCode>
                <c:ptCount val="4"/>
                <c:pt idx="0">
                  <c:v>0.94499999999999995</c:v>
                </c:pt>
                <c:pt idx="1">
                  <c:v>0.78159999999999996</c:v>
                </c:pt>
                <c:pt idx="2">
                  <c:v>0.7127</c:v>
                </c:pt>
                <c:pt idx="3">
                  <c:v>0.69340000000000002</c:v>
                </c:pt>
              </c:numCache>
            </c:numRef>
          </c:yVal>
          <c:smooth val="1"/>
          <c:extLst xmlns:c16r2="http://schemas.microsoft.com/office/drawing/2015/06/chart">
            <c:ext xmlns:c16="http://schemas.microsoft.com/office/drawing/2014/chart" uri="{C3380CC4-5D6E-409C-BE32-E72D297353CC}">
              <c16:uniqueId val="{00000000-655F-4AC4-A018-A67AC61D40C4}"/>
            </c:ext>
          </c:extLst>
        </c:ser>
        <c:ser>
          <c:idx val="1"/>
          <c:order val="1"/>
          <c:tx>
            <c:v>1/x</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(Data!$C$25:$C$28,Data!$I$1)</c:f>
              <c:numCache>
                <c:formatCode>General</c:formatCode>
                <c:ptCount val="5"/>
                <c:pt idx="0">
                  <c:v>2016</c:v>
                </c:pt>
                <c:pt idx="1">
                  <c:v>2020</c:v>
                </c:pt>
                <c:pt idx="2">
                  <c:v>2025</c:v>
                </c:pt>
                <c:pt idx="3">
                  <c:v>2030</c:v>
                </c:pt>
                <c:pt idx="4">
                  <c:v>2050</c:v>
                </c:pt>
              </c:numCache>
            </c:numRef>
          </c:xVal>
          <c:yVal>
            <c:numRef>
              <c:f>Data!$J$25:$J$29</c:f>
              <c:numCache>
                <c:formatCode>0.000</c:formatCode>
                <c:ptCount val="5"/>
                <c:pt idx="0">
                  <c:v>0.89618378438703583</c:v>
                </c:pt>
                <c:pt idx="1">
                  <c:v>0.81803518392315944</c:v>
                </c:pt>
                <c:pt idx="2">
                  <c:v>0.73763189341992963</c:v>
                </c:pt>
                <c:pt idx="3">
                  <c:v>0.67161954744492525</c:v>
                </c:pt>
                <c:pt idx="4">
                  <c:v>0.49457647822381923</c:v>
                </c:pt>
              </c:numCache>
            </c:numRef>
          </c:yVal>
          <c:smooth val="1"/>
          <c:extLst xmlns:c16r2="http://schemas.microsoft.com/office/drawing/2015/06/chart">
            <c:ext xmlns:c16="http://schemas.microsoft.com/office/drawing/2014/chart" uri="{C3380CC4-5D6E-409C-BE32-E72D297353CC}">
              <c16:uniqueId val="{00000002-06FF-45EE-BA8F-75B04E5B4260}"/>
            </c:ext>
          </c:extLst>
        </c:ser>
        <c:ser>
          <c:idx val="2"/>
          <c:order val="2"/>
          <c:tx>
            <c:v>Learning curve approximation</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(Data!$C$25:$C$28,Data!$I$1)</c:f>
              <c:numCache>
                <c:formatCode>General</c:formatCode>
                <c:ptCount val="5"/>
                <c:pt idx="0">
                  <c:v>2016</c:v>
                </c:pt>
                <c:pt idx="1">
                  <c:v>2020</c:v>
                </c:pt>
                <c:pt idx="2">
                  <c:v>2025</c:v>
                </c:pt>
                <c:pt idx="3">
                  <c:v>2030</c:v>
                </c:pt>
                <c:pt idx="4">
                  <c:v>2050</c:v>
                </c:pt>
              </c:numCache>
            </c:numRef>
          </c:xVal>
          <c:yVal>
            <c:numRef>
              <c:f>(Data!$D$25,Data!$D$34:$D$37)</c:f>
              <c:numCache>
                <c:formatCode>General</c:formatCode>
                <c:ptCount val="5"/>
                <c:pt idx="0">
                  <c:v>0.94499999999999995</c:v>
                </c:pt>
                <c:pt idx="1">
                  <c:v>0.78654684624869753</c:v>
                </c:pt>
                <c:pt idx="2">
                  <c:v>0.72676928593379664</c:v>
                </c:pt>
                <c:pt idx="3">
                  <c:v>0.69393046716928986</c:v>
                </c:pt>
                <c:pt idx="4">
                  <c:v>0.63001898035381954</c:v>
                </c:pt>
              </c:numCache>
            </c:numRef>
          </c:yVal>
          <c:smooth val="1"/>
          <c:extLst xmlns:c16r2="http://schemas.microsoft.com/office/drawing/2015/06/chart">
            <c:ext xmlns:c16="http://schemas.microsoft.com/office/drawing/2014/chart" uri="{C3380CC4-5D6E-409C-BE32-E72D297353CC}">
              <c16:uniqueId val="{00000001-5F8A-41EB-A380-29B683D5F9D3}"/>
            </c:ext>
          </c:extLst>
        </c:ser>
        <c:dLbls>
          <c:showLegendKey val="0"/>
          <c:showVal val="0"/>
          <c:showCatName val="0"/>
          <c:showSerName val="0"/>
          <c:showPercent val="0"/>
          <c:showBubbleSize val="0"/>
        </c:dLbls>
        <c:axId val="130796160"/>
        <c:axId val="130990080"/>
      </c:scatterChart>
      <c:valAx>
        <c:axId val="130796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990080"/>
        <c:crosses val="autoZero"/>
        <c:crossBetween val="midCat"/>
      </c:valAx>
      <c:valAx>
        <c:axId val="13099008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961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ena.org/-/media/Files/IRENA/Agency/Events/2017/Mar/15/2017_Kairies_Battery_Cost_and_Performance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83"/>
  <sheetViews>
    <sheetView showGridLines="0" tabSelected="1" zoomScale="80" zoomScaleNormal="80" workbookViewId="0">
      <selection activeCell="B2" sqref="B2:K33"/>
    </sheetView>
  </sheetViews>
  <sheetFormatPr baseColWidth="10" defaultColWidth="9.140625" defaultRowHeight="15" x14ac:dyDescent="0.25"/>
  <cols>
    <col min="1" max="1" width="3.7109375" style="19" customWidth="1"/>
    <col min="2" max="2" width="45.5703125" style="19" customWidth="1"/>
    <col min="3" max="3" width="10.7109375" style="19" customWidth="1"/>
    <col min="4" max="5" width="9.140625" style="19"/>
    <col min="6" max="9" width="10.7109375" style="19" customWidth="1"/>
    <col min="10" max="10" width="8.5703125" style="19" customWidth="1"/>
    <col min="11" max="11" width="11.140625" style="19" customWidth="1"/>
    <col min="12" max="16384" width="9.140625" style="19"/>
  </cols>
  <sheetData>
    <row r="1" spans="1:22" x14ac:dyDescent="0.25">
      <c r="B1" s="20"/>
    </row>
    <row r="2" spans="1:22" ht="20.25" customHeight="1" x14ac:dyDescent="0.25">
      <c r="B2" s="124"/>
      <c r="C2" s="125" t="s">
        <v>0</v>
      </c>
      <c r="D2" s="125"/>
      <c r="E2" s="125"/>
      <c r="F2" s="125"/>
      <c r="G2" s="125"/>
      <c r="H2" s="125"/>
      <c r="I2" s="125"/>
      <c r="J2" s="125"/>
      <c r="K2" s="125"/>
    </row>
    <row r="3" spans="1:22" ht="25.5" customHeight="1" x14ac:dyDescent="0.25">
      <c r="B3" s="126"/>
      <c r="C3" s="127">
        <v>2020</v>
      </c>
      <c r="D3" s="127">
        <v>2030</v>
      </c>
      <c r="E3" s="127">
        <v>2050</v>
      </c>
      <c r="F3" s="128" t="s">
        <v>1</v>
      </c>
      <c r="G3" s="129"/>
      <c r="H3" s="128" t="s">
        <v>2</v>
      </c>
      <c r="I3" s="129"/>
      <c r="J3" s="127" t="s">
        <v>3</v>
      </c>
      <c r="K3" s="127" t="s">
        <v>4</v>
      </c>
    </row>
    <row r="4" spans="1:22" ht="18" customHeight="1" x14ac:dyDescent="0.25">
      <c r="B4" s="130" t="s">
        <v>5</v>
      </c>
      <c r="C4" s="130"/>
      <c r="D4" s="130"/>
      <c r="E4" s="130"/>
      <c r="F4" s="127" t="s">
        <v>6</v>
      </c>
      <c r="G4" s="127" t="s">
        <v>7</v>
      </c>
      <c r="H4" s="127" t="s">
        <v>6</v>
      </c>
      <c r="I4" s="127" t="s">
        <v>8</v>
      </c>
      <c r="J4" s="130"/>
      <c r="K4" s="130"/>
    </row>
    <row r="5" spans="1:22" ht="18" customHeight="1" x14ac:dyDescent="0.25">
      <c r="A5" s="21"/>
      <c r="B5" s="126" t="s">
        <v>9</v>
      </c>
      <c r="C5" s="131" t="s">
        <v>10</v>
      </c>
      <c r="D5" s="132"/>
      <c r="E5" s="133"/>
      <c r="F5" s="134"/>
      <c r="G5" s="134"/>
      <c r="H5" s="134"/>
      <c r="I5" s="134"/>
      <c r="J5" s="134"/>
      <c r="K5" s="134"/>
    </row>
    <row r="6" spans="1:22" ht="18" customHeight="1" x14ac:dyDescent="0.25">
      <c r="B6" s="126" t="s">
        <v>11</v>
      </c>
      <c r="C6" s="131" t="s">
        <v>12</v>
      </c>
      <c r="D6" s="132"/>
      <c r="E6" s="133"/>
      <c r="F6" s="134"/>
      <c r="G6" s="134"/>
      <c r="H6" s="134"/>
      <c r="I6" s="134"/>
      <c r="J6" s="134"/>
      <c r="K6" s="134"/>
    </row>
    <row r="7" spans="1:22" ht="18" customHeight="1" x14ac:dyDescent="0.25">
      <c r="B7" s="126" t="s">
        <v>13</v>
      </c>
      <c r="C7" s="134">
        <v>8500</v>
      </c>
      <c r="D7" s="134">
        <v>8500</v>
      </c>
      <c r="E7" s="134">
        <v>8500</v>
      </c>
      <c r="F7" s="134">
        <f>E7</f>
        <v>8500</v>
      </c>
      <c r="G7" s="134">
        <v>8500</v>
      </c>
      <c r="H7" s="134">
        <v>8500</v>
      </c>
      <c r="I7" s="134">
        <v>8500</v>
      </c>
      <c r="J7" s="134"/>
      <c r="K7" s="134" t="s">
        <v>14</v>
      </c>
      <c r="L7" s="95"/>
      <c r="M7" s="95"/>
      <c r="N7" s="95"/>
      <c r="O7" s="95"/>
      <c r="P7" s="95"/>
      <c r="Q7" s="95"/>
      <c r="R7" s="95"/>
      <c r="S7" s="95"/>
      <c r="T7" s="95"/>
      <c r="U7" s="95"/>
      <c r="V7" s="95"/>
    </row>
    <row r="8" spans="1:22" ht="18" customHeight="1" x14ac:dyDescent="0.25">
      <c r="B8" s="126" t="s">
        <v>15</v>
      </c>
      <c r="C8" s="134">
        <v>1060</v>
      </c>
      <c r="D8" s="134">
        <v>1060</v>
      </c>
      <c r="E8" s="134">
        <v>1060</v>
      </c>
      <c r="F8" s="134">
        <v>1060</v>
      </c>
      <c r="G8" s="134">
        <v>1060</v>
      </c>
      <c r="H8" s="134">
        <v>1060</v>
      </c>
      <c r="I8" s="134">
        <v>1060</v>
      </c>
      <c r="J8" s="134"/>
      <c r="K8" s="134" t="s">
        <v>14</v>
      </c>
    </row>
    <row r="9" spans="1:22" ht="18" customHeight="1" x14ac:dyDescent="0.25">
      <c r="B9" s="126" t="s">
        <v>16</v>
      </c>
      <c r="C9" s="134">
        <v>1060</v>
      </c>
      <c r="D9" s="134">
        <v>1060</v>
      </c>
      <c r="E9" s="134">
        <v>1060</v>
      </c>
      <c r="F9" s="134">
        <v>1060</v>
      </c>
      <c r="G9" s="134">
        <v>1060</v>
      </c>
      <c r="H9" s="134">
        <v>1060</v>
      </c>
      <c r="I9" s="134">
        <v>1060</v>
      </c>
      <c r="J9" s="134"/>
      <c r="K9" s="134" t="s">
        <v>14</v>
      </c>
    </row>
    <row r="10" spans="1:22" ht="18" customHeight="1" x14ac:dyDescent="0.25">
      <c r="B10" s="126" t="s">
        <v>17</v>
      </c>
      <c r="C10" s="135">
        <f>Data!F5</f>
        <v>64.000000000000014</v>
      </c>
      <c r="D10" s="135">
        <f>Data!H5</f>
        <v>70.559999999999988</v>
      </c>
      <c r="E10" s="135">
        <f>Data!I5</f>
        <v>72.249999999999986</v>
      </c>
      <c r="F10" s="135">
        <f>(F11/100)*(F12/100)*100</f>
        <v>55.199999999999996</v>
      </c>
      <c r="G10" s="135">
        <f t="shared" ref="G10:I10" si="0">(G11/100)*(G12/100)*100</f>
        <v>64.000000000000014</v>
      </c>
      <c r="H10" s="135">
        <f t="shared" si="0"/>
        <v>64.000000000000014</v>
      </c>
      <c r="I10" s="135">
        <f t="shared" si="0"/>
        <v>70.559999999999988</v>
      </c>
      <c r="J10" s="134"/>
      <c r="K10" s="134" t="s">
        <v>18</v>
      </c>
    </row>
    <row r="11" spans="1:22" ht="18" customHeight="1" x14ac:dyDescent="0.25">
      <c r="B11" s="126" t="s">
        <v>189</v>
      </c>
      <c r="C11" s="134">
        <v>80</v>
      </c>
      <c r="D11" s="134">
        <v>84</v>
      </c>
      <c r="E11" s="134">
        <v>85</v>
      </c>
      <c r="F11" s="134">
        <v>80</v>
      </c>
      <c r="G11" s="134">
        <v>80</v>
      </c>
      <c r="H11" s="134">
        <v>80</v>
      </c>
      <c r="I11" s="134">
        <v>84</v>
      </c>
      <c r="J11" s="134"/>
      <c r="K11" s="134" t="s">
        <v>18</v>
      </c>
    </row>
    <row r="12" spans="1:22" ht="18" customHeight="1" x14ac:dyDescent="0.25">
      <c r="B12" s="136" t="s">
        <v>19</v>
      </c>
      <c r="C12" s="134">
        <v>80</v>
      </c>
      <c r="D12" s="134">
        <v>84</v>
      </c>
      <c r="E12" s="134">
        <v>85</v>
      </c>
      <c r="F12" s="134">
        <v>69</v>
      </c>
      <c r="G12" s="134">
        <v>80</v>
      </c>
      <c r="H12" s="134">
        <v>80</v>
      </c>
      <c r="I12" s="134">
        <v>84</v>
      </c>
      <c r="J12" s="134"/>
      <c r="K12" s="134" t="s">
        <v>18</v>
      </c>
    </row>
    <row r="13" spans="1:22" ht="18" customHeight="1" x14ac:dyDescent="0.25">
      <c r="B13" s="126" t="s">
        <v>20</v>
      </c>
      <c r="C13" s="134">
        <v>0.5</v>
      </c>
      <c r="D13" s="134">
        <v>0.5</v>
      </c>
      <c r="E13" s="134">
        <v>0.5</v>
      </c>
      <c r="F13" s="134">
        <v>0</v>
      </c>
      <c r="G13" s="134">
        <v>0.5</v>
      </c>
      <c r="H13" s="134">
        <v>0</v>
      </c>
      <c r="I13" s="134">
        <v>0.5</v>
      </c>
      <c r="J13" s="134"/>
      <c r="K13" s="134" t="s">
        <v>21</v>
      </c>
    </row>
    <row r="14" spans="1:22" ht="18" customHeight="1" x14ac:dyDescent="0.25">
      <c r="B14" s="126" t="s">
        <v>22</v>
      </c>
      <c r="C14" s="134"/>
      <c r="D14" s="134"/>
      <c r="E14" s="134"/>
      <c r="F14" s="134"/>
      <c r="G14" s="134"/>
      <c r="H14" s="134"/>
      <c r="I14" s="134"/>
      <c r="J14" s="134"/>
      <c r="K14" s="134"/>
    </row>
    <row r="15" spans="1:22" ht="18" customHeight="1" x14ac:dyDescent="0.25">
      <c r="B15" s="126" t="s">
        <v>23</v>
      </c>
      <c r="C15" s="134">
        <v>5</v>
      </c>
      <c r="D15" s="134">
        <v>4</v>
      </c>
      <c r="E15" s="134">
        <v>4</v>
      </c>
      <c r="F15" s="134">
        <v>5</v>
      </c>
      <c r="G15" s="134">
        <v>5</v>
      </c>
      <c r="H15" s="134">
        <v>5</v>
      </c>
      <c r="I15" s="134">
        <v>4</v>
      </c>
      <c r="J15" s="134"/>
      <c r="K15" s="134" t="s">
        <v>18</v>
      </c>
    </row>
    <row r="16" spans="1:22" ht="18" customHeight="1" x14ac:dyDescent="0.25">
      <c r="B16" s="126" t="s">
        <v>24</v>
      </c>
      <c r="C16" s="134">
        <v>5</v>
      </c>
      <c r="D16" s="134">
        <v>4</v>
      </c>
      <c r="E16" s="134">
        <v>3</v>
      </c>
      <c r="F16" s="134">
        <v>5</v>
      </c>
      <c r="G16" s="134">
        <v>5</v>
      </c>
      <c r="H16" s="134">
        <v>5</v>
      </c>
      <c r="I16" s="134">
        <v>4</v>
      </c>
      <c r="J16" s="134"/>
      <c r="K16" s="134" t="s">
        <v>18</v>
      </c>
    </row>
    <row r="17" spans="1:11" ht="18" customHeight="1" x14ac:dyDescent="0.25">
      <c r="B17" s="126" t="s">
        <v>25</v>
      </c>
      <c r="C17" s="135">
        <v>40</v>
      </c>
      <c r="D17" s="135">
        <v>40</v>
      </c>
      <c r="E17" s="135">
        <v>40</v>
      </c>
      <c r="F17" s="134">
        <v>35</v>
      </c>
      <c r="G17" s="134">
        <v>45</v>
      </c>
      <c r="H17" s="134">
        <v>35</v>
      </c>
      <c r="I17" s="134">
        <v>45</v>
      </c>
      <c r="J17" s="134" t="s">
        <v>190</v>
      </c>
      <c r="K17" s="134" t="s">
        <v>26</v>
      </c>
    </row>
    <row r="18" spans="1:11" ht="18" customHeight="1" x14ac:dyDescent="0.25">
      <c r="B18" s="126" t="s">
        <v>27</v>
      </c>
      <c r="C18" s="134">
        <v>3</v>
      </c>
      <c r="D18" s="134">
        <v>3</v>
      </c>
      <c r="E18" s="134">
        <v>3</v>
      </c>
      <c r="F18" s="134">
        <v>2</v>
      </c>
      <c r="G18" s="134">
        <v>3</v>
      </c>
      <c r="H18" s="134">
        <v>2</v>
      </c>
      <c r="I18" s="134">
        <v>3</v>
      </c>
      <c r="J18" s="134"/>
      <c r="K18" s="134" t="s">
        <v>18</v>
      </c>
    </row>
    <row r="19" spans="1:11" ht="18" customHeight="1" x14ac:dyDescent="0.25">
      <c r="B19" s="137" t="s">
        <v>81</v>
      </c>
      <c r="C19" s="134">
        <v>50000</v>
      </c>
      <c r="D19" s="134">
        <v>50000</v>
      </c>
      <c r="E19" s="134">
        <v>50000</v>
      </c>
      <c r="F19" s="134">
        <v>10000</v>
      </c>
      <c r="G19" s="134">
        <v>100000</v>
      </c>
      <c r="H19" s="134">
        <v>10000</v>
      </c>
      <c r="I19" s="134">
        <v>100000</v>
      </c>
      <c r="J19" s="134"/>
      <c r="K19" s="134" t="s">
        <v>14</v>
      </c>
    </row>
    <row r="20" spans="1:11" ht="18" customHeight="1" x14ac:dyDescent="0.25">
      <c r="B20" s="130" t="s">
        <v>28</v>
      </c>
      <c r="C20" s="130"/>
      <c r="D20" s="130"/>
      <c r="E20" s="130"/>
      <c r="F20" s="130"/>
      <c r="G20" s="130"/>
      <c r="H20" s="130"/>
      <c r="I20" s="130"/>
      <c r="J20" s="130"/>
      <c r="K20" s="130"/>
    </row>
    <row r="21" spans="1:11" ht="18" customHeight="1" x14ac:dyDescent="0.25">
      <c r="B21" s="126" t="s">
        <v>29</v>
      </c>
      <c r="C21" s="134">
        <v>700</v>
      </c>
      <c r="D21" s="134">
        <v>1000</v>
      </c>
      <c r="E21" s="134">
        <v>1000</v>
      </c>
      <c r="F21" s="134">
        <v>500</v>
      </c>
      <c r="G21" s="134">
        <v>1000</v>
      </c>
      <c r="H21" s="135">
        <v>740</v>
      </c>
      <c r="I21" s="135">
        <v>1350</v>
      </c>
      <c r="J21" s="134" t="s">
        <v>104</v>
      </c>
      <c r="K21" s="134" t="s">
        <v>18</v>
      </c>
    </row>
    <row r="22" spans="1:11" ht="18" customHeight="1" x14ac:dyDescent="0.25">
      <c r="B22" s="126" t="s">
        <v>31</v>
      </c>
      <c r="C22" s="134"/>
      <c r="D22" s="134"/>
      <c r="E22" s="138"/>
      <c r="F22" s="126"/>
      <c r="G22" s="134"/>
      <c r="H22" s="134"/>
      <c r="I22" s="134"/>
      <c r="J22" s="134"/>
      <c r="K22" s="134"/>
    </row>
    <row r="23" spans="1:11" ht="18" customHeight="1" x14ac:dyDescent="0.25">
      <c r="B23" s="126"/>
      <c r="C23" s="134"/>
      <c r="D23" s="134"/>
      <c r="E23" s="134"/>
      <c r="F23" s="134"/>
      <c r="G23" s="134"/>
      <c r="H23" s="134"/>
      <c r="I23" s="134"/>
      <c r="J23" s="134"/>
      <c r="K23" s="134"/>
    </row>
    <row r="24" spans="1:11" ht="18" customHeight="1" x14ac:dyDescent="0.25">
      <c r="A24" s="22"/>
      <c r="B24" s="139" t="s">
        <v>32</v>
      </c>
      <c r="C24" s="139"/>
      <c r="D24" s="139"/>
      <c r="E24" s="139"/>
      <c r="F24" s="139"/>
      <c r="G24" s="139"/>
      <c r="H24" s="139"/>
      <c r="I24" s="139"/>
      <c r="J24" s="139"/>
      <c r="K24" s="139"/>
    </row>
    <row r="25" spans="1:11" ht="18" customHeight="1" x14ac:dyDescent="0.25">
      <c r="A25" s="23"/>
      <c r="B25" s="126" t="s">
        <v>33</v>
      </c>
      <c r="C25" s="140">
        <f>((C26+C28)*C7+C27*C8)/C7</f>
        <v>0.23839529411764707</v>
      </c>
      <c r="D25" s="140">
        <f t="shared" ref="D25:I25" si="1">((D26+D28)*D7+D27*D8)/D7</f>
        <v>0.22367105882352939</v>
      </c>
      <c r="E25" s="140">
        <f t="shared" si="1"/>
        <v>0.20592389669555419</v>
      </c>
      <c r="F25" s="140">
        <f t="shared" si="1"/>
        <v>0.13627764705882353</v>
      </c>
      <c r="G25" s="140">
        <f t="shared" si="1"/>
        <v>0.27836941176470587</v>
      </c>
      <c r="H25" s="140">
        <f t="shared" si="1"/>
        <v>0.13166352941176468</v>
      </c>
      <c r="I25" s="140">
        <f t="shared" si="1"/>
        <v>0.26014823529411762</v>
      </c>
      <c r="J25" s="134"/>
      <c r="K25" s="134" t="s">
        <v>14</v>
      </c>
    </row>
    <row r="26" spans="1:11" ht="18" customHeight="1" x14ac:dyDescent="0.25">
      <c r="A26" s="24"/>
      <c r="B26" s="126" t="s">
        <v>34</v>
      </c>
      <c r="C26" s="141">
        <v>4.8000000000000001E-2</v>
      </c>
      <c r="D26" s="140">
        <v>4.4200000000000003E-2</v>
      </c>
      <c r="E26" s="140">
        <v>3.435682385143083E-2</v>
      </c>
      <c r="F26" s="141">
        <v>2E-3</v>
      </c>
      <c r="G26" s="141">
        <v>7.6999999999999999E-2</v>
      </c>
      <c r="H26" s="141">
        <v>2E-3</v>
      </c>
      <c r="I26" s="141">
        <v>7.0999999999999994E-2</v>
      </c>
      <c r="J26" s="134" t="s">
        <v>35</v>
      </c>
      <c r="K26" s="134" t="s">
        <v>14</v>
      </c>
    </row>
    <row r="27" spans="1:11" ht="18" customHeight="1" x14ac:dyDescent="0.25">
      <c r="A27" s="24"/>
      <c r="B27" s="126" t="s">
        <v>36</v>
      </c>
      <c r="C27" s="140">
        <v>0.78100000000000003</v>
      </c>
      <c r="D27" s="140">
        <f>Data!H16</f>
        <v>0.69340000000000002</v>
      </c>
      <c r="E27" s="140">
        <f>Data!D37</f>
        <v>0.63001898035381954</v>
      </c>
      <c r="F27" s="141">
        <v>0.33100000000000002</v>
      </c>
      <c r="G27" s="141">
        <v>0.86899999999999999</v>
      </c>
      <c r="H27" s="141">
        <v>0.29399999999999998</v>
      </c>
      <c r="I27" s="141">
        <v>0.77100000000000002</v>
      </c>
      <c r="J27" s="134" t="s">
        <v>37</v>
      </c>
      <c r="K27" s="134" t="s">
        <v>14</v>
      </c>
    </row>
    <row r="28" spans="1:11" ht="18" customHeight="1" x14ac:dyDescent="0.25">
      <c r="A28" s="24"/>
      <c r="B28" s="126" t="s">
        <v>38</v>
      </c>
      <c r="C28" s="141">
        <v>9.2999999999999999E-2</v>
      </c>
      <c r="D28" s="141">
        <v>9.2999999999999999E-2</v>
      </c>
      <c r="E28" s="141">
        <v>9.2999999999999999E-2</v>
      </c>
      <c r="F28" s="141">
        <v>9.2999999999999999E-2</v>
      </c>
      <c r="G28" s="141">
        <v>9.2999999999999999E-2</v>
      </c>
      <c r="H28" s="141">
        <v>9.2999999999999999E-2</v>
      </c>
      <c r="I28" s="141">
        <v>9.2999999999999999E-2</v>
      </c>
      <c r="J28" s="134"/>
      <c r="K28" s="134" t="s">
        <v>39</v>
      </c>
    </row>
    <row r="29" spans="1:11" ht="18" customHeight="1" x14ac:dyDescent="0.25">
      <c r="A29" s="24"/>
      <c r="B29" s="126" t="s">
        <v>79</v>
      </c>
      <c r="C29" s="142">
        <v>2.73</v>
      </c>
      <c r="D29" s="142">
        <v>2.73</v>
      </c>
      <c r="E29" s="142">
        <v>2.73</v>
      </c>
      <c r="F29" s="143">
        <v>2.2200000000000002</v>
      </c>
      <c r="G29" s="143">
        <v>4.4400000000000004</v>
      </c>
      <c r="H29" s="143">
        <v>2.2200000000000002</v>
      </c>
      <c r="I29" s="143">
        <v>4.4400000000000004</v>
      </c>
      <c r="J29" s="134"/>
      <c r="K29" s="134" t="s">
        <v>18</v>
      </c>
    </row>
    <row r="30" spans="1:11" ht="18" customHeight="1" x14ac:dyDescent="0.25">
      <c r="A30" s="24"/>
      <c r="B30" s="126" t="s">
        <v>41</v>
      </c>
      <c r="C30" s="142">
        <v>2.73</v>
      </c>
      <c r="D30" s="142">
        <v>2.73</v>
      </c>
      <c r="E30" s="142">
        <v>2.73</v>
      </c>
      <c r="F30" s="143">
        <v>2.2200000000000002</v>
      </c>
      <c r="G30" s="143">
        <v>3.3</v>
      </c>
      <c r="H30" s="143">
        <v>2.2000000000000002</v>
      </c>
      <c r="I30" s="143">
        <v>3.3</v>
      </c>
      <c r="J30" s="134" t="s">
        <v>42</v>
      </c>
      <c r="K30" s="134" t="s">
        <v>18</v>
      </c>
    </row>
    <row r="31" spans="1:11" ht="18" customHeight="1" x14ac:dyDescent="0.25">
      <c r="A31" s="24"/>
      <c r="B31" s="126"/>
      <c r="C31" s="134"/>
      <c r="D31" s="134"/>
      <c r="E31" s="134"/>
      <c r="F31" s="134"/>
      <c r="G31" s="134"/>
      <c r="H31" s="134"/>
      <c r="I31" s="134"/>
      <c r="J31" s="134"/>
      <c r="K31" s="134"/>
    </row>
    <row r="32" spans="1:11" ht="18" customHeight="1" x14ac:dyDescent="0.25">
      <c r="A32" s="24"/>
      <c r="B32" s="139" t="s">
        <v>43</v>
      </c>
      <c r="C32" s="139"/>
      <c r="D32" s="139"/>
      <c r="E32" s="139"/>
      <c r="F32" s="139"/>
      <c r="G32" s="139"/>
      <c r="H32" s="139"/>
      <c r="I32" s="139"/>
      <c r="J32" s="139"/>
      <c r="K32" s="139"/>
    </row>
    <row r="33" spans="1:23" ht="18" customHeight="1" x14ac:dyDescent="0.25">
      <c r="A33" s="24"/>
      <c r="B33" s="126" t="s">
        <v>44</v>
      </c>
      <c r="C33" s="140">
        <f>((C26+C28)*C7+C27*C8)/C8</f>
        <v>1.9116603773584906</v>
      </c>
      <c r="D33" s="140">
        <f t="shared" ref="D33:H33" si="2">((D26+D28)*D7+D27*D8)/D8</f>
        <v>1.7935886792452829</v>
      </c>
      <c r="E33" s="140">
        <f>((E26+E28)*E7+E27*E8)/E8</f>
        <v>1.651276530105859</v>
      </c>
      <c r="F33" s="140">
        <f t="shared" si="2"/>
        <v>1.0927924528301889</v>
      </c>
      <c r="G33" s="140">
        <f t="shared" si="2"/>
        <v>2.2322075471698111</v>
      </c>
      <c r="H33" s="140">
        <f t="shared" si="2"/>
        <v>1.0557924528301885</v>
      </c>
      <c r="I33" s="140">
        <f>((I26+I28)*I7+I27*I8)/I8</f>
        <v>2.0860943396226412</v>
      </c>
      <c r="J33" s="134"/>
      <c r="K33" s="134" t="s">
        <v>14</v>
      </c>
    </row>
    <row r="34" spans="1:23" x14ac:dyDescent="0.25">
      <c r="A34" s="24"/>
      <c r="B34" s="25"/>
      <c r="C34" s="26"/>
      <c r="D34" s="26"/>
      <c r="E34" s="26"/>
      <c r="F34" s="26"/>
      <c r="G34" s="26"/>
      <c r="H34" s="26"/>
      <c r="I34" s="26"/>
      <c r="J34" s="26"/>
      <c r="K34" s="26"/>
    </row>
    <row r="35" spans="1:23" ht="20.25" x14ac:dyDescent="0.35">
      <c r="B35" s="27" t="s">
        <v>46</v>
      </c>
      <c r="C35" s="28"/>
      <c r="D35" s="28"/>
      <c r="E35" s="28"/>
      <c r="F35" s="28"/>
      <c r="G35" s="28"/>
      <c r="H35" s="28"/>
      <c r="I35" s="28"/>
      <c r="J35" s="28"/>
      <c r="K35" s="28"/>
      <c r="L35" s="29"/>
      <c r="M35" s="29"/>
      <c r="N35" s="29"/>
      <c r="O35" s="29"/>
      <c r="P35" s="29"/>
      <c r="Q35" s="29"/>
      <c r="R35" s="29"/>
      <c r="S35" s="29"/>
      <c r="T35" s="29"/>
      <c r="U35" s="29"/>
      <c r="V35" s="29"/>
      <c r="W35" s="29"/>
    </row>
    <row r="36" spans="1:23" ht="18.75" x14ac:dyDescent="0.35">
      <c r="A36" s="30"/>
      <c r="B36" s="31" t="s">
        <v>47</v>
      </c>
      <c r="C36" s="10" t="s">
        <v>48</v>
      </c>
      <c r="D36" s="32"/>
      <c r="E36" s="33"/>
      <c r="F36" s="33"/>
      <c r="G36" s="33"/>
      <c r="H36" s="33"/>
      <c r="I36" s="33"/>
      <c r="J36" s="33"/>
      <c r="K36" s="33"/>
      <c r="L36" s="33"/>
      <c r="M36" s="29"/>
      <c r="N36" s="29"/>
      <c r="O36" s="29"/>
      <c r="P36" s="29"/>
      <c r="Q36" s="29"/>
      <c r="R36" s="29"/>
      <c r="S36" s="29"/>
      <c r="T36" s="29"/>
      <c r="U36" s="29"/>
      <c r="V36" s="29"/>
      <c r="W36" s="29"/>
    </row>
    <row r="37" spans="1:23" ht="18" x14ac:dyDescent="0.35">
      <c r="A37" s="30"/>
      <c r="B37" s="31" t="s">
        <v>35</v>
      </c>
      <c r="C37" s="10" t="s">
        <v>49</v>
      </c>
      <c r="D37" s="34"/>
      <c r="E37" s="35"/>
      <c r="F37" s="35"/>
      <c r="G37" s="35"/>
      <c r="H37" s="35"/>
      <c r="I37" s="35"/>
      <c r="J37" s="35"/>
      <c r="K37" s="35"/>
      <c r="L37" s="29"/>
      <c r="M37" s="29"/>
      <c r="N37" s="29"/>
      <c r="O37" s="29"/>
      <c r="P37" s="29"/>
      <c r="Q37" s="29"/>
      <c r="R37" s="29"/>
      <c r="S37" s="29"/>
      <c r="T37" s="29"/>
      <c r="U37" s="29"/>
      <c r="V37" s="29"/>
      <c r="W37" s="29"/>
    </row>
    <row r="38" spans="1:23" ht="18" x14ac:dyDescent="0.35">
      <c r="B38" s="31" t="s">
        <v>37</v>
      </c>
      <c r="C38" s="10" t="s">
        <v>50</v>
      </c>
      <c r="D38" s="36"/>
      <c r="E38" s="29"/>
      <c r="F38" s="29"/>
      <c r="G38" s="29"/>
      <c r="H38" s="35"/>
      <c r="I38" s="35"/>
      <c r="J38" s="35"/>
      <c r="K38" s="35"/>
      <c r="L38" s="35"/>
      <c r="M38" s="29"/>
      <c r="N38" s="29"/>
      <c r="O38" s="29"/>
      <c r="P38" s="29"/>
      <c r="Q38" s="29"/>
      <c r="R38" s="29"/>
      <c r="S38" s="29"/>
      <c r="T38" s="29"/>
      <c r="U38" s="29"/>
      <c r="V38" s="29"/>
      <c r="W38" s="29"/>
    </row>
    <row r="39" spans="1:23" ht="18" x14ac:dyDescent="0.35">
      <c r="B39" s="31" t="s">
        <v>40</v>
      </c>
      <c r="C39" s="10" t="s">
        <v>51</v>
      </c>
      <c r="D39" s="36"/>
      <c r="E39" s="29"/>
      <c r="F39" s="29"/>
      <c r="G39" s="29"/>
      <c r="H39" s="35"/>
      <c r="I39" s="35"/>
      <c r="J39" s="35"/>
      <c r="K39" s="35"/>
      <c r="L39" s="35"/>
      <c r="M39" s="29"/>
      <c r="N39" s="29"/>
      <c r="O39" s="29"/>
      <c r="P39" s="29"/>
      <c r="Q39" s="29"/>
      <c r="R39" s="29"/>
      <c r="S39" s="29"/>
      <c r="T39" s="29"/>
      <c r="U39" s="29"/>
      <c r="V39" s="29"/>
      <c r="W39" s="29"/>
    </row>
    <row r="40" spans="1:23" ht="18" x14ac:dyDescent="0.35">
      <c r="B40" s="31" t="s">
        <v>42</v>
      </c>
      <c r="C40" s="10" t="s">
        <v>80</v>
      </c>
      <c r="D40" s="36"/>
      <c r="E40" s="29"/>
      <c r="F40" s="29"/>
      <c r="G40" s="29"/>
      <c r="H40" s="35"/>
      <c r="I40" s="35"/>
      <c r="J40" s="35"/>
      <c r="K40" s="35"/>
      <c r="L40" s="35"/>
      <c r="M40" s="29"/>
      <c r="N40" s="29"/>
      <c r="O40" s="29"/>
      <c r="P40" s="29"/>
      <c r="Q40" s="29"/>
      <c r="R40" s="29"/>
      <c r="S40" s="29"/>
      <c r="T40" s="29"/>
      <c r="U40" s="29"/>
      <c r="V40" s="29"/>
      <c r="W40" s="29"/>
    </row>
    <row r="41" spans="1:23" ht="18" x14ac:dyDescent="0.35">
      <c r="B41" s="31" t="s">
        <v>45</v>
      </c>
      <c r="C41" s="10" t="s">
        <v>78</v>
      </c>
      <c r="D41" s="36"/>
      <c r="E41" s="29"/>
      <c r="F41" s="29"/>
      <c r="G41" s="29"/>
      <c r="H41" s="35"/>
      <c r="I41" s="35"/>
      <c r="J41" s="35"/>
      <c r="K41" s="35"/>
      <c r="L41" s="35"/>
      <c r="M41" s="29"/>
      <c r="N41" s="29"/>
      <c r="O41" s="29"/>
      <c r="P41" s="29"/>
      <c r="Q41" s="29"/>
      <c r="R41" s="29"/>
      <c r="S41" s="29"/>
      <c r="T41" s="29"/>
      <c r="U41" s="29"/>
      <c r="V41" s="29"/>
      <c r="W41" s="29"/>
    </row>
    <row r="42" spans="1:23" ht="18" x14ac:dyDescent="0.35">
      <c r="B42" s="31" t="s">
        <v>30</v>
      </c>
      <c r="C42" s="10" t="s">
        <v>102</v>
      </c>
      <c r="D42" s="36"/>
      <c r="E42" s="29"/>
      <c r="F42" s="29"/>
      <c r="G42" s="29"/>
      <c r="H42" s="35"/>
      <c r="I42" s="35"/>
      <c r="J42" s="35"/>
      <c r="K42" s="35"/>
      <c r="L42" s="35"/>
      <c r="M42" s="29"/>
      <c r="N42" s="29"/>
      <c r="O42" s="29"/>
      <c r="P42" s="29"/>
      <c r="Q42" s="29"/>
      <c r="R42" s="29"/>
      <c r="S42" s="29"/>
      <c r="T42" s="29"/>
      <c r="U42" s="29"/>
      <c r="V42" s="29"/>
      <c r="W42" s="29"/>
    </row>
    <row r="43" spans="1:23" ht="18" x14ac:dyDescent="0.35">
      <c r="B43" s="29"/>
      <c r="C43" s="29"/>
      <c r="D43" s="35"/>
      <c r="E43" s="35"/>
      <c r="F43" s="35"/>
      <c r="G43" s="35"/>
      <c r="H43" s="35"/>
      <c r="I43" s="35"/>
      <c r="J43" s="35"/>
      <c r="K43" s="35"/>
      <c r="L43" s="35"/>
      <c r="M43" s="29"/>
      <c r="N43" s="29"/>
      <c r="O43" s="29"/>
      <c r="P43" s="29"/>
      <c r="Q43" s="29"/>
      <c r="R43" s="29"/>
      <c r="S43" s="29"/>
      <c r="T43" s="29"/>
      <c r="U43" s="29"/>
      <c r="V43" s="29"/>
      <c r="W43" s="29"/>
    </row>
    <row r="44" spans="1:23" ht="20.25" x14ac:dyDescent="0.35">
      <c r="A44" s="30"/>
      <c r="B44" s="27" t="s">
        <v>52</v>
      </c>
      <c r="C44" s="29"/>
      <c r="D44" s="35"/>
      <c r="E44" s="35"/>
      <c r="F44" s="35"/>
      <c r="G44" s="35"/>
      <c r="H44" s="35"/>
      <c r="I44" s="35"/>
      <c r="J44" s="35"/>
      <c r="K44" s="35"/>
      <c r="L44" s="29"/>
      <c r="M44" s="29"/>
      <c r="N44" s="29"/>
      <c r="O44" s="29"/>
      <c r="P44" s="29"/>
      <c r="Q44" s="29"/>
      <c r="R44" s="29"/>
      <c r="S44" s="29"/>
      <c r="T44" s="29"/>
      <c r="U44" s="29"/>
      <c r="V44" s="29"/>
      <c r="W44" s="29"/>
    </row>
    <row r="45" spans="1:23" ht="18" x14ac:dyDescent="0.35">
      <c r="A45" s="30"/>
      <c r="B45" s="31" t="s">
        <v>14</v>
      </c>
      <c r="C45" s="10" t="s">
        <v>53</v>
      </c>
      <c r="D45" s="34"/>
      <c r="E45" s="34"/>
      <c r="F45" s="34"/>
      <c r="G45" s="34"/>
      <c r="H45" s="34"/>
      <c r="I45" s="34"/>
      <c r="J45" s="35"/>
      <c r="K45" s="35"/>
      <c r="L45" s="29"/>
      <c r="M45" s="29"/>
      <c r="N45" s="29"/>
      <c r="O45" s="29"/>
      <c r="P45" s="29"/>
      <c r="Q45" s="29"/>
      <c r="R45" s="29"/>
      <c r="S45" s="29"/>
      <c r="T45" s="29"/>
      <c r="U45" s="29"/>
      <c r="V45" s="29"/>
      <c r="W45" s="29"/>
    </row>
    <row r="46" spans="1:23" ht="18" x14ac:dyDescent="0.35">
      <c r="A46" s="30"/>
      <c r="B46" s="31" t="s">
        <v>54</v>
      </c>
      <c r="C46" s="34" t="s">
        <v>55</v>
      </c>
      <c r="D46" s="34"/>
      <c r="E46" s="34"/>
      <c r="F46" s="34"/>
      <c r="G46" s="34"/>
      <c r="H46" s="34"/>
      <c r="I46" s="34"/>
      <c r="J46" s="35"/>
      <c r="K46" s="35"/>
      <c r="L46" s="29"/>
      <c r="M46" s="29"/>
      <c r="N46" s="29"/>
      <c r="O46" s="29"/>
      <c r="P46" s="29"/>
      <c r="Q46" s="29"/>
      <c r="R46" s="29"/>
      <c r="S46" s="29"/>
      <c r="T46" s="29"/>
      <c r="U46" s="29"/>
      <c r="V46" s="29"/>
      <c r="W46" s="29"/>
    </row>
    <row r="47" spans="1:23" ht="18" x14ac:dyDescent="0.35">
      <c r="A47" s="24"/>
      <c r="B47" s="31" t="s">
        <v>18</v>
      </c>
      <c r="C47" s="34" t="s">
        <v>56</v>
      </c>
      <c r="D47" s="34"/>
      <c r="E47" s="34"/>
      <c r="F47" s="34"/>
      <c r="G47" s="34"/>
      <c r="H47" s="37"/>
      <c r="I47" s="37"/>
      <c r="J47" s="28"/>
      <c r="K47" s="28"/>
      <c r="L47" s="29"/>
      <c r="M47" s="29"/>
      <c r="N47" s="29"/>
      <c r="O47" s="29"/>
      <c r="P47" s="29"/>
      <c r="Q47" s="29"/>
      <c r="R47" s="29"/>
      <c r="S47" s="29"/>
      <c r="T47" s="29"/>
      <c r="U47" s="29"/>
      <c r="V47" s="29"/>
      <c r="W47" s="29"/>
    </row>
    <row r="48" spans="1:23" ht="18" x14ac:dyDescent="0.35">
      <c r="B48" s="31" t="s">
        <v>57</v>
      </c>
      <c r="C48" s="34" t="s">
        <v>58</v>
      </c>
      <c r="D48" s="34"/>
      <c r="E48" s="34"/>
      <c r="F48" s="34"/>
      <c r="G48" s="34"/>
      <c r="H48" s="36"/>
      <c r="I48" s="36"/>
      <c r="J48" s="29"/>
      <c r="K48" s="29"/>
      <c r="L48" s="29"/>
      <c r="M48" s="29"/>
      <c r="N48" s="29"/>
      <c r="O48" s="29"/>
      <c r="P48" s="29"/>
      <c r="Q48" s="29"/>
      <c r="R48" s="29"/>
      <c r="S48" s="29"/>
      <c r="T48" s="29"/>
      <c r="U48" s="29"/>
      <c r="V48" s="29"/>
      <c r="W48" s="29"/>
    </row>
    <row r="49" spans="1:23" ht="18" x14ac:dyDescent="0.35">
      <c r="A49" s="24"/>
      <c r="B49" s="31" t="s">
        <v>59</v>
      </c>
      <c r="C49" s="34" t="s">
        <v>60</v>
      </c>
      <c r="D49" s="34"/>
      <c r="E49" s="34"/>
      <c r="F49" s="34"/>
      <c r="G49" s="34"/>
      <c r="H49" s="38"/>
      <c r="I49" s="36"/>
      <c r="J49" s="29"/>
      <c r="K49" s="29"/>
      <c r="L49" s="29"/>
      <c r="M49" s="29"/>
      <c r="N49" s="29"/>
      <c r="O49" s="29"/>
      <c r="P49" s="29"/>
      <c r="Q49" s="29"/>
      <c r="R49" s="29"/>
      <c r="S49" s="29"/>
      <c r="T49" s="29"/>
      <c r="U49" s="29"/>
      <c r="V49" s="29"/>
      <c r="W49" s="29"/>
    </row>
    <row r="50" spans="1:23" ht="18" x14ac:dyDescent="0.35">
      <c r="A50" s="24"/>
      <c r="B50" s="31" t="s">
        <v>61</v>
      </c>
      <c r="C50" s="34" t="s">
        <v>62</v>
      </c>
      <c r="D50" s="34"/>
      <c r="E50" s="34"/>
      <c r="F50" s="34"/>
      <c r="G50" s="34"/>
      <c r="H50" s="36"/>
      <c r="I50" s="36"/>
      <c r="J50" s="29"/>
      <c r="K50" s="29"/>
      <c r="L50" s="29"/>
      <c r="M50" s="29"/>
      <c r="N50" s="29"/>
      <c r="O50" s="29"/>
      <c r="P50" s="29"/>
      <c r="Q50" s="29"/>
      <c r="R50" s="29"/>
      <c r="S50" s="29"/>
      <c r="T50" s="29"/>
      <c r="U50" s="29"/>
      <c r="V50" s="29"/>
      <c r="W50" s="29"/>
    </row>
    <row r="51" spans="1:23" ht="18" x14ac:dyDescent="0.35">
      <c r="A51" s="24"/>
      <c r="B51" s="39" t="s">
        <v>63</v>
      </c>
      <c r="C51" s="34" t="s">
        <v>127</v>
      </c>
      <c r="D51" s="37"/>
      <c r="E51" s="37"/>
      <c r="F51" s="37"/>
      <c r="G51" s="37"/>
      <c r="H51" s="36"/>
      <c r="I51" s="36"/>
      <c r="J51" s="29"/>
      <c r="K51" s="29"/>
      <c r="L51" s="29"/>
      <c r="M51" s="29"/>
      <c r="N51" s="29"/>
      <c r="O51" s="29"/>
      <c r="P51" s="29"/>
      <c r="Q51" s="29"/>
      <c r="R51" s="29"/>
      <c r="S51" s="29"/>
      <c r="T51" s="29"/>
      <c r="U51" s="29"/>
      <c r="V51" s="29"/>
      <c r="W51" s="29"/>
    </row>
    <row r="52" spans="1:23" ht="18" x14ac:dyDescent="0.35">
      <c r="A52" s="24"/>
      <c r="B52" s="39" t="s">
        <v>64</v>
      </c>
      <c r="C52" s="34" t="s">
        <v>128</v>
      </c>
      <c r="D52" s="40"/>
      <c r="E52" s="40"/>
      <c r="F52" s="40"/>
      <c r="G52" s="40"/>
      <c r="H52" s="36"/>
      <c r="I52" s="36"/>
      <c r="J52" s="29"/>
      <c r="K52" s="29"/>
      <c r="L52" s="29"/>
      <c r="M52" s="29"/>
      <c r="N52" s="29"/>
      <c r="O52" s="29"/>
      <c r="P52" s="29"/>
      <c r="Q52" s="29"/>
      <c r="R52" s="29"/>
      <c r="S52" s="29"/>
      <c r="T52" s="29"/>
      <c r="U52" s="29"/>
      <c r="V52" s="29"/>
      <c r="W52" s="29"/>
    </row>
    <row r="53" spans="1:23" ht="18" x14ac:dyDescent="0.35">
      <c r="A53" s="24"/>
      <c r="B53" s="39" t="s">
        <v>39</v>
      </c>
      <c r="C53" s="34" t="s">
        <v>65</v>
      </c>
      <c r="D53" s="38"/>
      <c r="E53" s="38"/>
      <c r="F53" s="38"/>
      <c r="G53" s="38"/>
      <c r="H53" s="36"/>
      <c r="I53" s="36"/>
      <c r="J53" s="29"/>
      <c r="K53" s="29"/>
      <c r="L53" s="29"/>
      <c r="M53" s="29"/>
      <c r="N53" s="29"/>
      <c r="O53" s="29"/>
      <c r="P53" s="29"/>
      <c r="Q53" s="29"/>
      <c r="R53" s="29"/>
      <c r="S53" s="29"/>
      <c r="T53" s="29"/>
      <c r="U53" s="29"/>
      <c r="V53" s="29"/>
      <c r="W53" s="29"/>
    </row>
    <row r="54" spans="1:23" ht="18" x14ac:dyDescent="0.35">
      <c r="A54" s="24"/>
      <c r="B54" s="39" t="s">
        <v>66</v>
      </c>
      <c r="C54" s="34" t="s">
        <v>129</v>
      </c>
      <c r="D54" s="38"/>
      <c r="E54" s="38"/>
      <c r="F54" s="38"/>
      <c r="G54" s="38"/>
      <c r="H54" s="36"/>
      <c r="I54" s="36"/>
      <c r="J54" s="29"/>
      <c r="K54" s="29"/>
      <c r="L54" s="29"/>
      <c r="M54" s="29"/>
      <c r="N54" s="29"/>
      <c r="O54" s="29"/>
      <c r="P54" s="29"/>
      <c r="Q54" s="29"/>
      <c r="R54" s="29"/>
      <c r="S54" s="29"/>
      <c r="T54" s="29"/>
      <c r="U54" s="29"/>
      <c r="V54" s="29"/>
      <c r="W54" s="29"/>
    </row>
    <row r="55" spans="1:23" ht="18" x14ac:dyDescent="0.35">
      <c r="A55" s="24"/>
      <c r="B55" s="9" t="s">
        <v>123</v>
      </c>
      <c r="C55" s="41" t="s">
        <v>130</v>
      </c>
      <c r="D55" s="38"/>
      <c r="E55" s="38"/>
      <c r="F55" s="38"/>
      <c r="G55" s="38"/>
      <c r="H55" s="36"/>
      <c r="I55" s="36"/>
      <c r="J55" s="29"/>
      <c r="K55" s="29"/>
      <c r="L55" s="29"/>
      <c r="M55" s="29"/>
      <c r="N55" s="29"/>
      <c r="O55" s="29"/>
      <c r="P55" s="29"/>
      <c r="Q55" s="29"/>
      <c r="R55" s="29"/>
      <c r="S55" s="29"/>
      <c r="T55" s="29"/>
      <c r="U55" s="29"/>
      <c r="V55" s="29"/>
      <c r="W55" s="29"/>
    </row>
    <row r="56" spans="1:23" x14ac:dyDescent="0.25">
      <c r="A56" s="24"/>
      <c r="B56" s="96"/>
      <c r="C56" s="96"/>
      <c r="D56" s="96"/>
      <c r="E56" s="96"/>
      <c r="F56" s="96"/>
      <c r="G56" s="96"/>
    </row>
    <row r="57" spans="1:23" x14ac:dyDescent="0.25">
      <c r="A57" s="24"/>
      <c r="B57" s="96"/>
      <c r="C57" s="96"/>
      <c r="D57" s="96"/>
      <c r="E57" s="96"/>
      <c r="F57" s="96"/>
      <c r="G57" s="96"/>
    </row>
    <row r="58" spans="1:23" x14ac:dyDescent="0.25">
      <c r="A58" s="24"/>
      <c r="B58" s="96"/>
      <c r="C58" s="96"/>
      <c r="D58" s="96"/>
      <c r="E58" s="96"/>
      <c r="F58" s="96"/>
      <c r="G58" s="96"/>
    </row>
    <row r="59" spans="1:23" x14ac:dyDescent="0.25">
      <c r="A59" s="24"/>
      <c r="B59" s="96"/>
      <c r="C59" s="96"/>
      <c r="D59" s="96"/>
      <c r="E59" s="96"/>
      <c r="F59" s="96"/>
      <c r="G59" s="96"/>
    </row>
    <row r="60" spans="1:23" x14ac:dyDescent="0.25">
      <c r="A60" s="24"/>
      <c r="B60" s="96"/>
      <c r="C60" s="96"/>
      <c r="D60" s="96"/>
      <c r="E60" s="96"/>
      <c r="F60" s="96"/>
      <c r="G60" s="96"/>
    </row>
    <row r="61" spans="1:23" x14ac:dyDescent="0.25">
      <c r="A61" s="24"/>
      <c r="B61" s="96"/>
      <c r="C61" s="96"/>
      <c r="D61" s="96"/>
      <c r="E61" s="96"/>
      <c r="F61" s="96"/>
      <c r="G61" s="96"/>
    </row>
    <row r="62" spans="1:23" x14ac:dyDescent="0.25">
      <c r="A62" s="24"/>
      <c r="B62" s="96"/>
      <c r="C62" s="96"/>
      <c r="D62" s="96"/>
      <c r="E62" s="96"/>
      <c r="F62" s="96"/>
      <c r="G62" s="96"/>
    </row>
    <row r="63" spans="1:23" x14ac:dyDescent="0.25">
      <c r="A63" s="24"/>
      <c r="B63" s="96"/>
      <c r="C63" s="96"/>
      <c r="D63" s="96"/>
      <c r="E63" s="96"/>
      <c r="F63" s="96"/>
      <c r="G63" s="96"/>
    </row>
    <row r="64" spans="1:23" x14ac:dyDescent="0.25">
      <c r="A64" s="24"/>
      <c r="B64" s="96"/>
      <c r="C64" s="96"/>
      <c r="D64" s="96"/>
      <c r="E64" s="96"/>
      <c r="F64" s="96"/>
      <c r="G64" s="96"/>
    </row>
    <row r="65" spans="1:7" x14ac:dyDescent="0.25">
      <c r="A65" s="24"/>
      <c r="B65" s="96"/>
      <c r="C65" s="96"/>
      <c r="D65" s="96"/>
      <c r="E65" s="96"/>
      <c r="F65" s="96"/>
      <c r="G65" s="96"/>
    </row>
    <row r="66" spans="1:7" x14ac:dyDescent="0.25">
      <c r="A66" s="24"/>
      <c r="B66" s="96"/>
      <c r="C66" s="96"/>
      <c r="D66" s="96"/>
      <c r="E66" s="96"/>
      <c r="F66" s="96"/>
      <c r="G66" s="96"/>
    </row>
    <row r="67" spans="1:7" x14ac:dyDescent="0.25">
      <c r="A67" s="24"/>
      <c r="B67" s="96"/>
      <c r="C67" s="96"/>
      <c r="D67" s="96"/>
      <c r="E67" s="96"/>
      <c r="F67" s="96"/>
      <c r="G67" s="96"/>
    </row>
    <row r="68" spans="1:7" x14ac:dyDescent="0.25">
      <c r="A68" s="24"/>
      <c r="B68" s="96"/>
      <c r="C68" s="96"/>
      <c r="D68" s="96"/>
      <c r="E68" s="96"/>
      <c r="F68" s="96"/>
      <c r="G68" s="96"/>
    </row>
    <row r="69" spans="1:7" x14ac:dyDescent="0.25">
      <c r="A69" s="24"/>
      <c r="B69" s="96"/>
      <c r="C69" s="96"/>
      <c r="D69" s="96"/>
      <c r="E69" s="96"/>
      <c r="F69" s="96"/>
      <c r="G69" s="96"/>
    </row>
    <row r="70" spans="1:7" x14ac:dyDescent="0.25">
      <c r="A70" s="24"/>
      <c r="B70" s="96"/>
      <c r="C70" s="96"/>
      <c r="D70" s="96"/>
      <c r="E70" s="96"/>
      <c r="F70" s="96"/>
      <c r="G70" s="96"/>
    </row>
    <row r="71" spans="1:7" x14ac:dyDescent="0.25">
      <c r="A71" s="24"/>
      <c r="B71" s="96"/>
      <c r="C71" s="96"/>
      <c r="D71" s="96"/>
      <c r="E71" s="96"/>
      <c r="F71" s="96"/>
      <c r="G71" s="96"/>
    </row>
    <row r="72" spans="1:7" x14ac:dyDescent="0.25">
      <c r="A72" s="24"/>
      <c r="B72" s="96"/>
      <c r="C72" s="96"/>
      <c r="D72" s="96"/>
      <c r="E72" s="96"/>
      <c r="F72" s="96"/>
      <c r="G72" s="96"/>
    </row>
    <row r="73" spans="1:7" x14ac:dyDescent="0.25">
      <c r="A73" s="24"/>
      <c r="B73" s="96"/>
      <c r="C73" s="96"/>
      <c r="D73" s="96"/>
      <c r="E73" s="96"/>
      <c r="F73" s="96"/>
      <c r="G73" s="96"/>
    </row>
    <row r="74" spans="1:7" x14ac:dyDescent="0.25">
      <c r="A74" s="24"/>
      <c r="B74" s="96"/>
      <c r="C74" s="96"/>
      <c r="D74" s="96"/>
      <c r="E74" s="96"/>
      <c r="F74" s="96"/>
      <c r="G74" s="96"/>
    </row>
    <row r="75" spans="1:7" x14ac:dyDescent="0.25">
      <c r="A75" s="24"/>
      <c r="B75" s="96"/>
      <c r="C75" s="96"/>
      <c r="D75" s="96"/>
      <c r="E75" s="96"/>
      <c r="F75" s="96"/>
      <c r="G75" s="96"/>
    </row>
    <row r="76" spans="1:7" x14ac:dyDescent="0.25">
      <c r="A76" s="24"/>
      <c r="B76" s="96"/>
      <c r="C76" s="96"/>
      <c r="D76" s="96"/>
      <c r="E76" s="96"/>
      <c r="F76" s="96"/>
      <c r="G76" s="96"/>
    </row>
    <row r="77" spans="1:7" x14ac:dyDescent="0.25">
      <c r="A77" s="24"/>
      <c r="B77" s="96"/>
      <c r="C77" s="96"/>
      <c r="D77" s="96"/>
      <c r="E77" s="96"/>
      <c r="F77" s="96"/>
      <c r="G77" s="96"/>
    </row>
    <row r="78" spans="1:7" x14ac:dyDescent="0.25">
      <c r="A78" s="24"/>
      <c r="B78" s="96"/>
      <c r="C78" s="96"/>
      <c r="D78" s="96"/>
      <c r="E78" s="96"/>
      <c r="F78" s="96"/>
      <c r="G78" s="96"/>
    </row>
    <row r="79" spans="1:7" x14ac:dyDescent="0.25">
      <c r="A79" s="24"/>
      <c r="B79" s="96"/>
      <c r="C79" s="96"/>
      <c r="D79" s="96"/>
      <c r="E79" s="96"/>
      <c r="F79" s="96"/>
      <c r="G79" s="96"/>
    </row>
    <row r="80" spans="1:7" x14ac:dyDescent="0.25">
      <c r="A80" s="24"/>
      <c r="B80" s="96"/>
      <c r="C80" s="96"/>
      <c r="D80" s="96"/>
      <c r="E80" s="96"/>
      <c r="F80" s="96"/>
      <c r="G80" s="96"/>
    </row>
    <row r="81" spans="1:7" x14ac:dyDescent="0.25">
      <c r="A81" s="24"/>
      <c r="B81" s="96"/>
      <c r="C81" s="96"/>
      <c r="D81" s="96"/>
      <c r="E81" s="96"/>
      <c r="F81" s="96"/>
      <c r="G81" s="96"/>
    </row>
    <row r="82" spans="1:7" x14ac:dyDescent="0.25">
      <c r="A82" s="24"/>
      <c r="B82" s="96"/>
      <c r="C82" s="96"/>
      <c r="D82" s="96"/>
      <c r="E82" s="96"/>
      <c r="F82" s="96"/>
      <c r="G82" s="96"/>
    </row>
    <row r="83" spans="1:7" x14ac:dyDescent="0.25">
      <c r="A83" s="24"/>
      <c r="B83" s="96"/>
      <c r="C83" s="96"/>
      <c r="D83" s="96"/>
      <c r="E83" s="96"/>
      <c r="F83" s="96"/>
      <c r="G83" s="96"/>
    </row>
  </sheetData>
  <mergeCells count="36">
    <mergeCell ref="B80:G80"/>
    <mergeCell ref="B69:G69"/>
    <mergeCell ref="B70:G70"/>
    <mergeCell ref="B71:G71"/>
    <mergeCell ref="B72:G72"/>
    <mergeCell ref="B73:G73"/>
    <mergeCell ref="B81:G81"/>
    <mergeCell ref="B82:G82"/>
    <mergeCell ref="B83:G83"/>
    <mergeCell ref="F3:G3"/>
    <mergeCell ref="H3:I3"/>
    <mergeCell ref="B75:G75"/>
    <mergeCell ref="B76:G76"/>
    <mergeCell ref="B77:G77"/>
    <mergeCell ref="B78:G78"/>
    <mergeCell ref="B79:G79"/>
    <mergeCell ref="B60:G60"/>
    <mergeCell ref="B61:G61"/>
    <mergeCell ref="B74:G74"/>
    <mergeCell ref="B63:G63"/>
    <mergeCell ref="B64:G64"/>
    <mergeCell ref="B65:G65"/>
    <mergeCell ref="B66:G66"/>
    <mergeCell ref="B67:G67"/>
    <mergeCell ref="B68:G68"/>
    <mergeCell ref="B62:G62"/>
    <mergeCell ref="B56:G56"/>
    <mergeCell ref="B57:G57"/>
    <mergeCell ref="B58:G58"/>
    <mergeCell ref="B59:G59"/>
    <mergeCell ref="C2:K2"/>
    <mergeCell ref="B24:K24"/>
    <mergeCell ref="B32:K32"/>
    <mergeCell ref="L7:V7"/>
    <mergeCell ref="C6:E6"/>
    <mergeCell ref="C5:E5"/>
  </mergeCells>
  <hyperlinks>
    <hyperlink ref="C53" r:id="rId1" display="https://www.irena.org/-/media/Files/IRENA/Agency/Events/2017/Mar/15/2017_Kairies_Battery_Cost_and_Performance_0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pane xSplit="2" ySplit="1" topLeftCell="C2" activePane="bottomRight" state="frozen"/>
      <selection pane="topRight" activeCell="C1" sqref="C1"/>
      <selection pane="bottomLeft" activeCell="A2" sqref="A2"/>
      <selection pane="bottomRight" activeCell="E33" sqref="E33:J41"/>
    </sheetView>
  </sheetViews>
  <sheetFormatPr baseColWidth="10" defaultColWidth="11.42578125" defaultRowHeight="18" x14ac:dyDescent="0.35"/>
  <cols>
    <col min="1" max="1" width="48.140625" style="68" customWidth="1"/>
    <col min="2" max="2" width="7" style="29" bestFit="1" customWidth="1"/>
    <col min="3" max="9" width="11" style="29" customWidth="1"/>
    <col min="10" max="10" width="14.28515625" style="29" customWidth="1"/>
    <col min="11" max="11" width="68.140625" style="68" customWidth="1"/>
    <col min="12" max="16384" width="11.42578125" style="19"/>
  </cols>
  <sheetData>
    <row r="1" spans="1:11" x14ac:dyDescent="0.25">
      <c r="A1" s="53" t="s">
        <v>67</v>
      </c>
      <c r="B1" s="54" t="s">
        <v>82</v>
      </c>
      <c r="C1" s="54">
        <v>2015</v>
      </c>
      <c r="D1" s="54">
        <v>2016</v>
      </c>
      <c r="E1" s="54">
        <v>2017</v>
      </c>
      <c r="F1" s="54">
        <v>2020</v>
      </c>
      <c r="G1" s="54">
        <v>2025</v>
      </c>
      <c r="H1" s="54">
        <v>2030</v>
      </c>
      <c r="I1" s="54">
        <v>2050</v>
      </c>
      <c r="J1" s="54" t="s">
        <v>68</v>
      </c>
      <c r="K1" s="53" t="s">
        <v>120</v>
      </c>
    </row>
    <row r="2" spans="1:11" ht="30" customHeight="1" x14ac:dyDescent="0.25">
      <c r="A2" s="55" t="s">
        <v>131</v>
      </c>
      <c r="B2" s="56" t="s">
        <v>83</v>
      </c>
      <c r="C2" s="56"/>
      <c r="D2" s="57">
        <v>8500</v>
      </c>
      <c r="E2" s="57"/>
      <c r="F2" s="57">
        <v>8500</v>
      </c>
      <c r="G2" s="57">
        <v>8500</v>
      </c>
      <c r="H2" s="57">
        <v>8500</v>
      </c>
      <c r="I2" s="57">
        <v>8500</v>
      </c>
      <c r="J2" s="103" t="s">
        <v>14</v>
      </c>
      <c r="K2" s="104" t="s">
        <v>175</v>
      </c>
    </row>
    <row r="3" spans="1:11" ht="30" customHeight="1" x14ac:dyDescent="0.25">
      <c r="A3" s="55" t="s">
        <v>132</v>
      </c>
      <c r="B3" s="56" t="s">
        <v>84</v>
      </c>
      <c r="C3" s="56"/>
      <c r="D3" s="57">
        <v>1060</v>
      </c>
      <c r="E3" s="57"/>
      <c r="F3" s="57">
        <v>1060</v>
      </c>
      <c r="G3" s="57">
        <v>1060</v>
      </c>
      <c r="H3" s="57">
        <v>1060</v>
      </c>
      <c r="I3" s="57">
        <v>1060</v>
      </c>
      <c r="J3" s="103"/>
      <c r="K3" s="104"/>
    </row>
    <row r="4" spans="1:11" ht="30" customHeight="1" x14ac:dyDescent="0.25">
      <c r="A4" s="55" t="s">
        <v>133</v>
      </c>
      <c r="B4" s="56" t="s">
        <v>85</v>
      </c>
      <c r="C4" s="56"/>
      <c r="D4" s="57">
        <v>1060</v>
      </c>
      <c r="E4" s="57"/>
      <c r="F4" s="57">
        <v>1060</v>
      </c>
      <c r="G4" s="57">
        <v>1060</v>
      </c>
      <c r="H4" s="57">
        <v>1060</v>
      </c>
      <c r="I4" s="57">
        <v>1060</v>
      </c>
      <c r="J4" s="103"/>
      <c r="K4" s="104"/>
    </row>
    <row r="5" spans="1:11" ht="56.1" customHeight="1" x14ac:dyDescent="0.25">
      <c r="A5" s="55" t="s">
        <v>134</v>
      </c>
      <c r="B5" s="56" t="s">
        <v>86</v>
      </c>
      <c r="C5" s="57"/>
      <c r="D5" s="57"/>
      <c r="E5" s="57"/>
      <c r="F5" s="57">
        <f>(F6/100)*(F7/100)*100</f>
        <v>64.000000000000014</v>
      </c>
      <c r="G5" s="58"/>
      <c r="H5" s="57">
        <f>(H6/100)*(H7/100)*100</f>
        <v>70.559999999999988</v>
      </c>
      <c r="I5" s="57">
        <f>(I6/100)*(I7/100)*100</f>
        <v>72.249999999999986</v>
      </c>
      <c r="J5" s="59"/>
      <c r="K5" s="60" t="s">
        <v>183</v>
      </c>
    </row>
    <row r="6" spans="1:11" ht="25.9" customHeight="1" x14ac:dyDescent="0.25">
      <c r="A6" s="55" t="s">
        <v>135</v>
      </c>
      <c r="B6" s="56" t="s">
        <v>87</v>
      </c>
      <c r="C6" s="57">
        <v>80</v>
      </c>
      <c r="D6" s="57"/>
      <c r="E6" s="57"/>
      <c r="F6" s="57">
        <v>80</v>
      </c>
      <c r="G6" s="57"/>
      <c r="H6" s="57">
        <v>84</v>
      </c>
      <c r="I6" s="57">
        <v>85</v>
      </c>
      <c r="J6" s="103" t="s">
        <v>18</v>
      </c>
      <c r="K6" s="104" t="s">
        <v>178</v>
      </c>
    </row>
    <row r="7" spans="1:11" ht="25.9" customHeight="1" x14ac:dyDescent="0.25">
      <c r="A7" s="55" t="s">
        <v>136</v>
      </c>
      <c r="B7" s="56" t="s">
        <v>88</v>
      </c>
      <c r="C7" s="57">
        <v>69</v>
      </c>
      <c r="D7" s="57"/>
      <c r="E7" s="57"/>
      <c r="F7" s="57">
        <v>80</v>
      </c>
      <c r="G7" s="57"/>
      <c r="H7" s="57">
        <v>84</v>
      </c>
      <c r="I7" s="61">
        <v>85</v>
      </c>
      <c r="J7" s="103"/>
      <c r="K7" s="104"/>
    </row>
    <row r="8" spans="1:11" ht="51" x14ac:dyDescent="0.25">
      <c r="A8" s="55" t="s">
        <v>137</v>
      </c>
      <c r="B8" s="56" t="s">
        <v>89</v>
      </c>
      <c r="C8" s="57"/>
      <c r="D8" s="57">
        <v>0.5</v>
      </c>
      <c r="E8" s="57"/>
      <c r="F8" s="57"/>
      <c r="G8" s="57">
        <v>0.5</v>
      </c>
      <c r="H8" s="57"/>
      <c r="I8" s="61"/>
      <c r="J8" s="59" t="s">
        <v>121</v>
      </c>
      <c r="K8" s="60" t="s">
        <v>149</v>
      </c>
    </row>
    <row r="9" spans="1:11" ht="41.45" customHeight="1" x14ac:dyDescent="0.25">
      <c r="A9" s="55" t="s">
        <v>138</v>
      </c>
      <c r="B9" s="56" t="s">
        <v>90</v>
      </c>
      <c r="C9" s="57">
        <v>5</v>
      </c>
      <c r="D9" s="57"/>
      <c r="E9" s="57"/>
      <c r="F9" s="57">
        <v>5</v>
      </c>
      <c r="G9" s="57"/>
      <c r="H9" s="57">
        <v>4</v>
      </c>
      <c r="I9" s="61">
        <v>4</v>
      </c>
      <c r="J9" s="103" t="s">
        <v>18</v>
      </c>
      <c r="K9" s="104" t="s">
        <v>179</v>
      </c>
    </row>
    <row r="10" spans="1:11" ht="41.45" customHeight="1" x14ac:dyDescent="0.25">
      <c r="A10" s="55" t="s">
        <v>139</v>
      </c>
      <c r="B10" s="56" t="s">
        <v>91</v>
      </c>
      <c r="C10" s="57">
        <v>5</v>
      </c>
      <c r="D10" s="57"/>
      <c r="E10" s="57"/>
      <c r="F10" s="57">
        <v>5</v>
      </c>
      <c r="G10" s="57"/>
      <c r="H10" s="57">
        <v>4</v>
      </c>
      <c r="I10" s="61">
        <v>3</v>
      </c>
      <c r="J10" s="103"/>
      <c r="K10" s="104"/>
    </row>
    <row r="11" spans="1:11" ht="33.75" customHeight="1" x14ac:dyDescent="0.25">
      <c r="A11" s="55" t="s">
        <v>140</v>
      </c>
      <c r="B11" s="56" t="s">
        <v>92</v>
      </c>
      <c r="C11" s="57">
        <v>40</v>
      </c>
      <c r="D11" s="57">
        <v>50</v>
      </c>
      <c r="E11" s="57"/>
      <c r="F11" s="57">
        <v>45</v>
      </c>
      <c r="G11" s="57"/>
      <c r="H11" s="57">
        <v>45</v>
      </c>
      <c r="I11" s="61">
        <v>40</v>
      </c>
      <c r="J11" s="103"/>
      <c r="K11" s="104" t="s">
        <v>179</v>
      </c>
    </row>
    <row r="12" spans="1:11" ht="32.25" customHeight="1" x14ac:dyDescent="0.25">
      <c r="A12" s="55" t="s">
        <v>141</v>
      </c>
      <c r="B12" s="56" t="s">
        <v>93</v>
      </c>
      <c r="C12" s="57">
        <v>2.9</v>
      </c>
      <c r="D12" s="57"/>
      <c r="E12" s="57"/>
      <c r="F12" s="57">
        <v>2.9</v>
      </c>
      <c r="G12" s="57"/>
      <c r="H12" s="57">
        <v>2.9</v>
      </c>
      <c r="I12" s="58">
        <v>2.9</v>
      </c>
      <c r="J12" s="103"/>
      <c r="K12" s="104"/>
    </row>
    <row r="13" spans="1:11" ht="51.75" customHeight="1" x14ac:dyDescent="0.25">
      <c r="A13" s="55" t="s">
        <v>142</v>
      </c>
      <c r="B13" s="56" t="s">
        <v>94</v>
      </c>
      <c r="C13" s="57">
        <v>700</v>
      </c>
      <c r="D13" s="57"/>
      <c r="E13" s="57"/>
      <c r="F13" s="57">
        <v>700</v>
      </c>
      <c r="G13" s="57"/>
      <c r="H13" s="57">
        <v>1000</v>
      </c>
      <c r="I13" s="61">
        <v>1000</v>
      </c>
      <c r="J13" s="103"/>
      <c r="K13" s="60" t="s">
        <v>179</v>
      </c>
    </row>
    <row r="14" spans="1:11" ht="25.5" x14ac:dyDescent="0.25">
      <c r="A14" s="55" t="s">
        <v>143</v>
      </c>
      <c r="B14" s="56" t="s">
        <v>95</v>
      </c>
      <c r="C14" s="57"/>
      <c r="D14" s="57">
        <f>((D15+D17)*D2+D16*D3)/D2</f>
        <v>0.26334705882352938</v>
      </c>
      <c r="E14" s="57"/>
      <c r="F14" s="57">
        <f>((F15+F17)*F2+F16*F3)/F2</f>
        <v>0.23857011764705882</v>
      </c>
      <c r="G14" s="57"/>
      <c r="H14" s="57">
        <f t="shared" ref="H14:I14" si="0">((H15+H17)*H2+H16*H3)/H2</f>
        <v>0.22367105882352939</v>
      </c>
      <c r="I14" s="57">
        <f t="shared" si="0"/>
        <v>0.20592389669555419</v>
      </c>
      <c r="J14" s="103" t="s">
        <v>14</v>
      </c>
      <c r="K14" s="60" t="s">
        <v>187</v>
      </c>
    </row>
    <row r="15" spans="1:11" ht="63.75" x14ac:dyDescent="0.25">
      <c r="A15" s="55" t="s">
        <v>144</v>
      </c>
      <c r="B15" s="56" t="s">
        <v>96</v>
      </c>
      <c r="C15" s="57"/>
      <c r="D15" s="57">
        <v>5.2499999999999998E-2</v>
      </c>
      <c r="E15" s="57"/>
      <c r="F15" s="57">
        <v>4.8099999999999997E-2</v>
      </c>
      <c r="G15" s="57">
        <v>4.5699999999999998E-2</v>
      </c>
      <c r="H15" s="57">
        <v>4.4200000000000003E-2</v>
      </c>
      <c r="I15" s="62">
        <f>1378890981.55984*EXP(-0.01191*I1)</f>
        <v>3.435682385143083E-2</v>
      </c>
      <c r="J15" s="103"/>
      <c r="K15" s="63" t="s">
        <v>180</v>
      </c>
    </row>
    <row r="16" spans="1:11" ht="76.5" x14ac:dyDescent="0.25">
      <c r="A16" s="55" t="s">
        <v>145</v>
      </c>
      <c r="B16" s="56" t="s">
        <v>97</v>
      </c>
      <c r="C16" s="57"/>
      <c r="D16" s="57">
        <v>0.94499999999999995</v>
      </c>
      <c r="E16" s="57"/>
      <c r="F16" s="57">
        <v>0.78159999999999996</v>
      </c>
      <c r="G16" s="57">
        <v>0.7127</v>
      </c>
      <c r="H16" s="57">
        <v>0.69340000000000002</v>
      </c>
      <c r="I16" s="62">
        <f>D37</f>
        <v>0.63001898035381954</v>
      </c>
      <c r="J16" s="103"/>
      <c r="K16" s="60" t="s">
        <v>150</v>
      </c>
    </row>
    <row r="17" spans="1:11" ht="20.85" customHeight="1" x14ac:dyDescent="0.25">
      <c r="A17" s="55" t="s">
        <v>69</v>
      </c>
      <c r="B17" s="56" t="s">
        <v>98</v>
      </c>
      <c r="C17" s="57">
        <v>9.2999999999999999E-2</v>
      </c>
      <c r="D17" s="57">
        <v>9.2999999999999999E-2</v>
      </c>
      <c r="E17" s="57"/>
      <c r="F17" s="57">
        <v>9.2999999999999999E-2</v>
      </c>
      <c r="G17" s="57"/>
      <c r="H17" s="57">
        <v>9.2999999999999999E-2</v>
      </c>
      <c r="I17" s="62">
        <v>9.2999999999999999E-2</v>
      </c>
      <c r="J17" s="59" t="s">
        <v>39</v>
      </c>
      <c r="K17" s="64" t="s">
        <v>181</v>
      </c>
    </row>
    <row r="18" spans="1:11" ht="20.85" customHeight="1" x14ac:dyDescent="0.25">
      <c r="A18" s="55" t="s">
        <v>146</v>
      </c>
      <c r="B18" s="56" t="s">
        <v>99</v>
      </c>
      <c r="C18" s="57"/>
      <c r="D18" s="57">
        <v>2.73</v>
      </c>
      <c r="E18" s="57"/>
      <c r="F18" s="57">
        <v>2.73</v>
      </c>
      <c r="G18" s="57"/>
      <c r="H18" s="57">
        <v>2.73</v>
      </c>
      <c r="I18" s="57">
        <v>2.73</v>
      </c>
      <c r="J18" s="103" t="s">
        <v>18</v>
      </c>
      <c r="K18" s="106" t="s">
        <v>182</v>
      </c>
    </row>
    <row r="19" spans="1:11" ht="20.85" customHeight="1" x14ac:dyDescent="0.25">
      <c r="A19" s="55" t="s">
        <v>147</v>
      </c>
      <c r="B19" s="56" t="s">
        <v>100</v>
      </c>
      <c r="C19" s="57"/>
      <c r="D19" s="57">
        <v>2.73</v>
      </c>
      <c r="E19" s="65"/>
      <c r="F19" s="57">
        <v>2.73</v>
      </c>
      <c r="G19" s="66"/>
      <c r="H19" s="57">
        <v>2.73</v>
      </c>
      <c r="I19" s="57">
        <v>2.73</v>
      </c>
      <c r="J19" s="103"/>
      <c r="K19" s="106"/>
    </row>
    <row r="20" spans="1:11" ht="51" customHeight="1" x14ac:dyDescent="0.25">
      <c r="A20" s="55" t="s">
        <v>148</v>
      </c>
      <c r="B20" s="56" t="s">
        <v>95</v>
      </c>
      <c r="C20" s="57"/>
      <c r="D20" s="67">
        <f>((D15+D17)*D2+D16*D3)/D3</f>
        <v>2.1117452830188679</v>
      </c>
      <c r="E20" s="57"/>
      <c r="F20" s="67">
        <f t="shared" ref="F20:I20" si="1">((F15+F17)*F2+F16*F3)/F3</f>
        <v>1.9130622641509434</v>
      </c>
      <c r="G20" s="67"/>
      <c r="H20" s="67">
        <f t="shared" si="1"/>
        <v>1.7935886792452829</v>
      </c>
      <c r="I20" s="67">
        <f t="shared" si="1"/>
        <v>1.651276530105859</v>
      </c>
      <c r="J20" s="59"/>
      <c r="K20" s="60" t="s">
        <v>186</v>
      </c>
    </row>
    <row r="21" spans="1:11" ht="33" customHeight="1" x14ac:dyDescent="0.35"/>
    <row r="22" spans="1:11" ht="74.650000000000006" customHeight="1" x14ac:dyDescent="0.35">
      <c r="C22" s="107" t="s">
        <v>176</v>
      </c>
      <c r="D22" s="107"/>
      <c r="F22" s="105" t="s">
        <v>174</v>
      </c>
      <c r="G22" s="105"/>
      <c r="H22" s="105"/>
      <c r="I22" s="105"/>
      <c r="K22" s="69" t="s">
        <v>173</v>
      </c>
    </row>
    <row r="23" spans="1:11" x14ac:dyDescent="0.35">
      <c r="C23" s="70" t="s">
        <v>113</v>
      </c>
      <c r="D23" s="70" t="s">
        <v>112</v>
      </c>
      <c r="E23" s="29" t="s">
        <v>111</v>
      </c>
    </row>
    <row r="24" spans="1:11" ht="51" x14ac:dyDescent="0.35">
      <c r="B24" s="71" t="s">
        <v>109</v>
      </c>
      <c r="C24" s="72" t="s">
        <v>103</v>
      </c>
      <c r="D24" s="8" t="s">
        <v>151</v>
      </c>
      <c r="E24" s="72" t="s">
        <v>105</v>
      </c>
      <c r="F24" s="72" t="s">
        <v>106</v>
      </c>
      <c r="G24" s="72" t="s">
        <v>107</v>
      </c>
      <c r="H24" s="72" t="s">
        <v>35</v>
      </c>
      <c r="I24" s="72" t="s">
        <v>47</v>
      </c>
      <c r="J24" s="72" t="s">
        <v>112</v>
      </c>
    </row>
    <row r="25" spans="1:11" x14ac:dyDescent="0.35">
      <c r="B25" s="71">
        <v>1</v>
      </c>
      <c r="C25" s="73">
        <v>2016</v>
      </c>
      <c r="D25" s="73">
        <f>D16</f>
        <v>0.94499999999999995</v>
      </c>
      <c r="E25" s="74">
        <f>1/D25</f>
        <v>1.0582010582010584</v>
      </c>
      <c r="F25" s="75">
        <f>C25*E25</f>
        <v>2133.3333333333335</v>
      </c>
      <c r="G25" s="73">
        <f>C25*C25</f>
        <v>4064256</v>
      </c>
      <c r="H25" s="74">
        <f>((B28*F29)-(C29*E29))/((B28*G29)-POWER(C29,2))</f>
        <v>2.6649689218955053E-2</v>
      </c>
      <c r="I25" s="76">
        <f>E30-(H25*C30)</f>
        <v>-52.609930914564316</v>
      </c>
      <c r="J25" s="77">
        <f>1/($I$25+($H$25*C25))</f>
        <v>0.89618378438703583</v>
      </c>
    </row>
    <row r="26" spans="1:11" x14ac:dyDescent="0.35">
      <c r="B26" s="71">
        <f>1+B25</f>
        <v>2</v>
      </c>
      <c r="C26" s="73">
        <v>2020</v>
      </c>
      <c r="D26" s="73">
        <f>F16</f>
        <v>0.78159999999999996</v>
      </c>
      <c r="E26" s="74">
        <f t="shared" ref="E26:E28" si="2">1/D26</f>
        <v>1.2794268167860798</v>
      </c>
      <c r="F26" s="75">
        <f t="shared" ref="F26:F28" si="3">C26*E26</f>
        <v>2584.4421699078812</v>
      </c>
      <c r="G26" s="73">
        <f t="shared" ref="G26:G28" si="4">C26*C26</f>
        <v>4080400</v>
      </c>
      <c r="H26" s="74"/>
      <c r="I26" s="76"/>
      <c r="J26" s="77">
        <f t="shared" ref="J26:J28" si="5">1/($I$25+($H$25*C26))</f>
        <v>0.81803518392315944</v>
      </c>
    </row>
    <row r="27" spans="1:11" x14ac:dyDescent="0.35">
      <c r="B27" s="71">
        <f t="shared" ref="B27:B28" si="6">1+B26</f>
        <v>3</v>
      </c>
      <c r="C27" s="73">
        <v>2025</v>
      </c>
      <c r="D27" s="73">
        <f>G16</f>
        <v>0.7127</v>
      </c>
      <c r="E27" s="74">
        <f t="shared" si="2"/>
        <v>1.4031149151115476</v>
      </c>
      <c r="F27" s="75">
        <f t="shared" si="3"/>
        <v>2841.3077031008838</v>
      </c>
      <c r="G27" s="73">
        <f t="shared" si="4"/>
        <v>4100625</v>
      </c>
      <c r="H27" s="74"/>
      <c r="I27" s="76"/>
      <c r="J27" s="77">
        <f t="shared" si="5"/>
        <v>0.73763189341992963</v>
      </c>
    </row>
    <row r="28" spans="1:11" x14ac:dyDescent="0.35">
      <c r="B28" s="71">
        <f t="shared" si="6"/>
        <v>4</v>
      </c>
      <c r="C28" s="73">
        <v>2030</v>
      </c>
      <c r="D28" s="73">
        <f>H16</f>
        <v>0.69340000000000002</v>
      </c>
      <c r="E28" s="74">
        <f t="shared" si="2"/>
        <v>1.442169022209403</v>
      </c>
      <c r="F28" s="75">
        <f t="shared" si="3"/>
        <v>2927.6031150850881</v>
      </c>
      <c r="G28" s="73">
        <f t="shared" si="4"/>
        <v>4120900</v>
      </c>
      <c r="H28" s="74"/>
      <c r="I28" s="76"/>
      <c r="J28" s="77">
        <f t="shared" si="5"/>
        <v>0.67161954744492525</v>
      </c>
    </row>
    <row r="29" spans="1:11" x14ac:dyDescent="0.35">
      <c r="B29" s="71" t="s">
        <v>108</v>
      </c>
      <c r="C29" s="71">
        <f>SUM(C25:C28)</f>
        <v>8091</v>
      </c>
      <c r="D29" s="71"/>
      <c r="E29" s="76">
        <f>SUM(E25:E28)</f>
        <v>5.1829118123080891</v>
      </c>
      <c r="F29" s="77">
        <f>SUM(F25:F28)</f>
        <v>10486.686321427187</v>
      </c>
      <c r="G29" s="71">
        <f>SUM(G25:G28)</f>
        <v>16366181</v>
      </c>
      <c r="H29" s="74"/>
      <c r="I29" s="76"/>
      <c r="J29" s="77">
        <f>1/($I$25+($H$25*2050))</f>
        <v>0.49457647822381923</v>
      </c>
    </row>
    <row r="30" spans="1:11" x14ac:dyDescent="0.35">
      <c r="B30" s="71" t="s">
        <v>110</v>
      </c>
      <c r="C30" s="71">
        <f>AVERAGE(C25:C28)</f>
        <v>2022.75</v>
      </c>
      <c r="D30" s="71"/>
      <c r="E30" s="76">
        <f>AVERAGE(E25:E28)</f>
        <v>1.2957279530770223</v>
      </c>
      <c r="F30" s="71"/>
      <c r="G30" s="71"/>
      <c r="H30" s="71"/>
      <c r="I30" s="71"/>
      <c r="J30" s="71"/>
    </row>
    <row r="31" spans="1:11" ht="18.75" thickBot="1" x14ac:dyDescent="0.4">
      <c r="E31" s="78"/>
    </row>
    <row r="32" spans="1:11" ht="76.5" x14ac:dyDescent="0.35">
      <c r="B32" s="79" t="s">
        <v>115</v>
      </c>
      <c r="C32" s="42" t="s">
        <v>114</v>
      </c>
      <c r="D32" s="42" t="s">
        <v>118</v>
      </c>
      <c r="E32" s="43" t="s">
        <v>116</v>
      </c>
      <c r="F32" s="44">
        <v>0.92400000000000004</v>
      </c>
      <c r="G32" s="45"/>
      <c r="H32" s="46"/>
      <c r="I32" s="46"/>
      <c r="J32" s="47"/>
    </row>
    <row r="33" spans="1:10" ht="24.95" customHeight="1" x14ac:dyDescent="0.35">
      <c r="B33" s="80" t="s">
        <v>117</v>
      </c>
      <c r="C33" s="48">
        <v>1</v>
      </c>
      <c r="D33" s="29">
        <f>D25</f>
        <v>0.94499999999999995</v>
      </c>
      <c r="E33" s="97" t="s">
        <v>119</v>
      </c>
      <c r="F33" s="97"/>
      <c r="G33" s="97"/>
      <c r="H33" s="97"/>
      <c r="I33" s="97"/>
      <c r="J33" s="98"/>
    </row>
    <row r="34" spans="1:10" ht="24.95" customHeight="1" x14ac:dyDescent="0.35">
      <c r="B34" s="80"/>
      <c r="C34" s="48">
        <f>C33+C26-C25</f>
        <v>5</v>
      </c>
      <c r="D34" s="49">
        <f>(C34/C33)^((LN($F$32)/LN(2)))*D$25</f>
        <v>0.78654684624869753</v>
      </c>
      <c r="E34" s="99"/>
      <c r="F34" s="99"/>
      <c r="G34" s="99"/>
      <c r="H34" s="99"/>
      <c r="I34" s="99"/>
      <c r="J34" s="100"/>
    </row>
    <row r="35" spans="1:10" ht="24.95" customHeight="1" x14ac:dyDescent="0.35">
      <c r="B35" s="80"/>
      <c r="C35" s="48">
        <f>C34+C27-C26</f>
        <v>10</v>
      </c>
      <c r="D35" s="49">
        <f>(C35/C33)^((LN($F$32)/LN(2)))*D$25</f>
        <v>0.72676928593379664</v>
      </c>
      <c r="E35" s="99"/>
      <c r="F35" s="99"/>
      <c r="G35" s="99"/>
      <c r="H35" s="99"/>
      <c r="I35" s="99"/>
      <c r="J35" s="100"/>
    </row>
    <row r="36" spans="1:10" ht="24.95" customHeight="1" x14ac:dyDescent="0.35">
      <c r="B36" s="80"/>
      <c r="C36" s="50">
        <f>C35+C28-C27</f>
        <v>15</v>
      </c>
      <c r="D36" s="49">
        <f>(C36/C33)^((LN($F$32)/LN(2)))*D$25</f>
        <v>0.69393046716928986</v>
      </c>
      <c r="E36" s="99"/>
      <c r="F36" s="99"/>
      <c r="G36" s="99"/>
      <c r="H36" s="99"/>
      <c r="I36" s="99"/>
      <c r="J36" s="100"/>
    </row>
    <row r="37" spans="1:10" ht="24.95" customHeight="1" x14ac:dyDescent="0.35">
      <c r="B37" s="80">
        <v>2050</v>
      </c>
      <c r="C37" s="48">
        <f>C36+2050-C28</f>
        <v>35</v>
      </c>
      <c r="D37" s="49">
        <f>(C37/C33)^((LN($F$32)/LN(2)))*D$25</f>
        <v>0.63001898035381954</v>
      </c>
      <c r="E37" s="99"/>
      <c r="F37" s="99"/>
      <c r="G37" s="99"/>
      <c r="H37" s="99"/>
      <c r="I37" s="99"/>
      <c r="J37" s="100"/>
    </row>
    <row r="38" spans="1:10" ht="24.95" customHeight="1" x14ac:dyDescent="0.35">
      <c r="B38" s="80"/>
      <c r="C38" s="51"/>
      <c r="D38" s="51"/>
      <c r="E38" s="99"/>
      <c r="F38" s="99"/>
      <c r="G38" s="99"/>
      <c r="H38" s="99"/>
      <c r="I38" s="99"/>
      <c r="J38" s="100"/>
    </row>
    <row r="39" spans="1:10" ht="24.95" customHeight="1" x14ac:dyDescent="0.35">
      <c r="B39" s="80"/>
      <c r="C39" s="51"/>
      <c r="D39" s="51"/>
      <c r="E39" s="99"/>
      <c r="F39" s="99"/>
      <c r="G39" s="99"/>
      <c r="H39" s="99"/>
      <c r="I39" s="99"/>
      <c r="J39" s="100"/>
    </row>
    <row r="40" spans="1:10" ht="24.95" customHeight="1" x14ac:dyDescent="0.35">
      <c r="B40" s="80"/>
      <c r="C40" s="51"/>
      <c r="D40" s="51"/>
      <c r="E40" s="99"/>
      <c r="F40" s="99"/>
      <c r="G40" s="99"/>
      <c r="H40" s="99"/>
      <c r="I40" s="99"/>
      <c r="J40" s="100"/>
    </row>
    <row r="41" spans="1:10" ht="24.95" customHeight="1" thickBot="1" x14ac:dyDescent="0.4">
      <c r="B41" s="81"/>
      <c r="C41" s="52"/>
      <c r="D41" s="52"/>
      <c r="E41" s="101"/>
      <c r="F41" s="101"/>
      <c r="G41" s="101"/>
      <c r="H41" s="101"/>
      <c r="I41" s="101"/>
      <c r="J41" s="102"/>
    </row>
    <row r="42" spans="1:10" x14ac:dyDescent="0.35">
      <c r="E42" s="82"/>
      <c r="F42" s="82"/>
      <c r="G42" s="82"/>
      <c r="H42" s="82"/>
      <c r="I42" s="82"/>
      <c r="J42" s="82"/>
    </row>
    <row r="43" spans="1:10" x14ac:dyDescent="0.35">
      <c r="E43" s="82"/>
      <c r="F43" s="82"/>
      <c r="G43" s="82"/>
      <c r="H43" s="82"/>
      <c r="I43" s="82"/>
      <c r="J43" s="82"/>
    </row>
    <row r="44" spans="1:10" x14ac:dyDescent="0.35">
      <c r="A44" s="83" t="s">
        <v>14</v>
      </c>
      <c r="B44" s="84" t="s">
        <v>53</v>
      </c>
    </row>
    <row r="45" spans="1:10" x14ac:dyDescent="0.35">
      <c r="A45" s="83" t="s">
        <v>54</v>
      </c>
      <c r="B45" s="35" t="s">
        <v>55</v>
      </c>
    </row>
    <row r="46" spans="1:10" x14ac:dyDescent="0.35">
      <c r="A46" s="83" t="s">
        <v>18</v>
      </c>
      <c r="B46" s="35" t="s">
        <v>56</v>
      </c>
    </row>
    <row r="47" spans="1:10" x14ac:dyDescent="0.35">
      <c r="A47" s="83" t="s">
        <v>57</v>
      </c>
      <c r="B47" s="35" t="s">
        <v>58</v>
      </c>
    </row>
    <row r="48" spans="1:10" x14ac:dyDescent="0.35">
      <c r="A48" s="83" t="s">
        <v>59</v>
      </c>
      <c r="B48" s="35" t="s">
        <v>60</v>
      </c>
    </row>
    <row r="49" spans="1:2" x14ac:dyDescent="0.35">
      <c r="A49" s="83" t="s">
        <v>61</v>
      </c>
      <c r="B49" s="35" t="s">
        <v>62</v>
      </c>
    </row>
    <row r="50" spans="1:2" ht="20.25" x14ac:dyDescent="0.35">
      <c r="A50" s="85" t="s">
        <v>63</v>
      </c>
      <c r="B50" s="35" t="s">
        <v>124</v>
      </c>
    </row>
    <row r="51" spans="1:2" ht="18.75" x14ac:dyDescent="0.35">
      <c r="A51" s="85" t="s">
        <v>64</v>
      </c>
      <c r="B51" s="35" t="s">
        <v>125</v>
      </c>
    </row>
    <row r="52" spans="1:2" x14ac:dyDescent="0.35">
      <c r="A52" s="85" t="s">
        <v>39</v>
      </c>
      <c r="B52" s="35" t="s">
        <v>65</v>
      </c>
    </row>
    <row r="53" spans="1:2" ht="20.25" x14ac:dyDescent="0.35">
      <c r="A53" s="85" t="s">
        <v>66</v>
      </c>
      <c r="B53" s="35" t="s">
        <v>126</v>
      </c>
    </row>
  </sheetData>
  <mergeCells count="13">
    <mergeCell ref="C22:D22"/>
    <mergeCell ref="E33:J41"/>
    <mergeCell ref="J2:J4"/>
    <mergeCell ref="K2:K4"/>
    <mergeCell ref="J6:J7"/>
    <mergeCell ref="K6:K7"/>
    <mergeCell ref="J9:J13"/>
    <mergeCell ref="K9:K10"/>
    <mergeCell ref="K11:K12"/>
    <mergeCell ref="F22:I22"/>
    <mergeCell ref="K18:K19"/>
    <mergeCell ref="J14:J16"/>
    <mergeCell ref="J18:J19"/>
  </mergeCells>
  <hyperlinks>
    <hyperlink ref="B52" r:id="rId1" display="https://www.irena.org/-/media/Files/IRENA/Agency/Events/2017/Mar/15/2017_Kairies_Battery_Cost_and_Performance_01.pd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opLeftCell="A13" workbookViewId="0">
      <selection activeCell="A7" sqref="A7:A24"/>
    </sheetView>
  </sheetViews>
  <sheetFormatPr baseColWidth="10" defaultColWidth="11.42578125" defaultRowHeight="15" x14ac:dyDescent="0.25"/>
  <cols>
    <col min="1" max="1" width="45.140625" style="17" customWidth="1"/>
    <col min="2" max="9" width="10.42578125" style="1" customWidth="1"/>
    <col min="10" max="10" width="11.42578125" style="1"/>
    <col min="11" max="24" width="10.42578125" style="1" customWidth="1"/>
    <col min="25" max="16384" width="11.42578125" style="1"/>
  </cols>
  <sheetData>
    <row r="1" spans="1:24" ht="18" x14ac:dyDescent="0.25">
      <c r="A1" s="16"/>
      <c r="B1" s="13"/>
      <c r="C1" s="13"/>
      <c r="D1" s="13"/>
      <c r="E1" s="13"/>
      <c r="F1" s="112" t="s">
        <v>70</v>
      </c>
      <c r="G1" s="112"/>
      <c r="H1" s="109" t="s">
        <v>71</v>
      </c>
      <c r="I1" s="109"/>
      <c r="K1" s="109" t="s">
        <v>72</v>
      </c>
      <c r="L1" s="109"/>
      <c r="M1" s="109" t="s">
        <v>73</v>
      </c>
      <c r="N1" s="109"/>
      <c r="O1" s="109" t="s">
        <v>74</v>
      </c>
      <c r="P1" s="109"/>
      <c r="R1" s="7" t="s">
        <v>75</v>
      </c>
      <c r="S1" s="7" t="s">
        <v>76</v>
      </c>
      <c r="T1" s="7" t="s">
        <v>77</v>
      </c>
      <c r="U1" s="109" t="s">
        <v>3</v>
      </c>
      <c r="V1" s="109"/>
      <c r="W1" s="109"/>
      <c r="X1" s="109"/>
    </row>
    <row r="2" spans="1:24" ht="18" x14ac:dyDescent="0.25">
      <c r="A2" s="14" t="s">
        <v>67</v>
      </c>
      <c r="B2" s="11">
        <v>2015</v>
      </c>
      <c r="C2" s="11">
        <v>2020</v>
      </c>
      <c r="D2" s="11">
        <v>2030</v>
      </c>
      <c r="E2" s="11">
        <v>2050</v>
      </c>
      <c r="F2" s="12" t="s">
        <v>6</v>
      </c>
      <c r="G2" s="13" t="s">
        <v>7</v>
      </c>
      <c r="H2" s="2" t="s">
        <v>6</v>
      </c>
      <c r="I2" s="2" t="s">
        <v>7</v>
      </c>
      <c r="J2" s="6" t="s">
        <v>68</v>
      </c>
      <c r="K2" s="2" t="s">
        <v>6</v>
      </c>
      <c r="L2" s="2" t="s">
        <v>7</v>
      </c>
      <c r="M2" s="2" t="s">
        <v>6</v>
      </c>
      <c r="N2" s="2" t="s">
        <v>7</v>
      </c>
      <c r="O2" s="1" t="s">
        <v>6</v>
      </c>
      <c r="P2" s="1" t="s">
        <v>7</v>
      </c>
      <c r="R2" s="7">
        <v>2020</v>
      </c>
      <c r="S2" s="4">
        <f>K3</f>
        <v>-0.2857142857142857</v>
      </c>
      <c r="T2" s="4">
        <f>L3</f>
        <v>0.42857142857142855</v>
      </c>
      <c r="U2" s="110" t="s">
        <v>122</v>
      </c>
      <c r="V2" s="110"/>
      <c r="W2" s="110"/>
      <c r="X2" s="110"/>
    </row>
    <row r="3" spans="1:24" ht="23.45" customHeight="1" x14ac:dyDescent="0.25">
      <c r="A3" s="15" t="s">
        <v>142</v>
      </c>
      <c r="B3" s="13">
        <v>700</v>
      </c>
      <c r="C3" s="13">
        <v>700</v>
      </c>
      <c r="D3" s="13">
        <v>1000</v>
      </c>
      <c r="E3" s="13">
        <v>1000</v>
      </c>
      <c r="F3" s="13">
        <v>500</v>
      </c>
      <c r="G3" s="13">
        <v>1000</v>
      </c>
      <c r="H3" s="1">
        <v>800</v>
      </c>
      <c r="I3" s="1">
        <v>1200</v>
      </c>
      <c r="J3" s="1" t="s">
        <v>18</v>
      </c>
      <c r="K3" s="5">
        <f>(F3-$C$3)/$C$3</f>
        <v>-0.2857142857142857</v>
      </c>
      <c r="L3" s="5">
        <f>(G3-$C$3)/$C$3</f>
        <v>0.42857142857142855</v>
      </c>
      <c r="M3" s="5">
        <f>(0.002857*D2)-6.057143</f>
        <v>-0.2574329999999998</v>
      </c>
      <c r="N3" s="5">
        <f>(-0.007619*D2)+15.819048</f>
        <v>0.3524780000000014</v>
      </c>
      <c r="O3" s="3">
        <f>(H3-$E$3)/$E$3</f>
        <v>-0.2</v>
      </c>
      <c r="P3" s="3">
        <f>(I3-$E$3)/$E$3</f>
        <v>0.2</v>
      </c>
      <c r="R3" s="7">
        <v>2050</v>
      </c>
      <c r="S3" s="4">
        <f>O3</f>
        <v>-0.2</v>
      </c>
      <c r="T3" s="4">
        <f>P3</f>
        <v>0.2</v>
      </c>
      <c r="U3" s="110"/>
      <c r="V3" s="110"/>
      <c r="W3" s="110"/>
      <c r="X3" s="110"/>
    </row>
    <row r="4" spans="1:24" ht="18" x14ac:dyDescent="0.25">
      <c r="A4" s="16"/>
      <c r="B4" s="13"/>
      <c r="C4" s="13"/>
      <c r="D4" s="13"/>
      <c r="E4" s="13"/>
      <c r="F4" s="13"/>
      <c r="G4" s="13"/>
    </row>
    <row r="5" spans="1:24" ht="18" x14ac:dyDescent="0.25">
      <c r="A5" s="16"/>
      <c r="B5" s="13"/>
      <c r="C5" s="13"/>
      <c r="D5" s="13"/>
      <c r="E5" s="13"/>
      <c r="F5" s="13"/>
      <c r="G5" s="13"/>
    </row>
    <row r="6" spans="1:24" ht="18" x14ac:dyDescent="0.25">
      <c r="A6" s="18"/>
      <c r="B6" s="111" t="s">
        <v>101</v>
      </c>
      <c r="C6" s="111"/>
      <c r="D6" s="111"/>
      <c r="E6" s="111"/>
      <c r="F6" s="111"/>
      <c r="G6" s="111"/>
      <c r="H6" s="86"/>
      <c r="I6" s="86"/>
      <c r="J6" s="86"/>
      <c r="K6" s="86"/>
      <c r="L6" s="113"/>
      <c r="M6" s="113"/>
      <c r="N6" s="113"/>
    </row>
    <row r="7" spans="1:24" ht="56.25" customHeight="1" x14ac:dyDescent="0.25">
      <c r="A7" s="123" t="s">
        <v>152</v>
      </c>
      <c r="B7" s="108" t="s">
        <v>168</v>
      </c>
      <c r="C7" s="108"/>
      <c r="D7" s="108"/>
      <c r="E7" s="108"/>
      <c r="F7" s="108"/>
      <c r="G7" s="108"/>
      <c r="H7" s="88"/>
      <c r="I7" s="88"/>
      <c r="J7" s="88"/>
      <c r="K7" s="88"/>
      <c r="L7" s="86"/>
      <c r="M7" s="86"/>
      <c r="N7" s="86"/>
    </row>
    <row r="8" spans="1:24" ht="39.950000000000003" customHeight="1" x14ac:dyDescent="0.25">
      <c r="A8" s="123" t="s">
        <v>153</v>
      </c>
      <c r="B8" s="108"/>
      <c r="C8" s="108"/>
      <c r="D8" s="108"/>
      <c r="E8" s="108"/>
      <c r="F8" s="108"/>
      <c r="G8" s="108"/>
      <c r="H8" s="88"/>
      <c r="I8" s="88"/>
      <c r="J8" s="88"/>
      <c r="K8" s="88"/>
      <c r="L8" s="86"/>
      <c r="M8" s="86"/>
      <c r="N8" s="86"/>
    </row>
    <row r="9" spans="1:24" ht="39.950000000000003" customHeight="1" x14ac:dyDescent="0.25">
      <c r="A9" s="123" t="s">
        <v>154</v>
      </c>
      <c r="B9" s="108"/>
      <c r="C9" s="108"/>
      <c r="D9" s="108"/>
      <c r="E9" s="108"/>
      <c r="F9" s="108"/>
      <c r="G9" s="108"/>
      <c r="H9" s="88"/>
      <c r="I9" s="88"/>
      <c r="J9" s="88"/>
      <c r="K9" s="88"/>
      <c r="L9" s="86"/>
      <c r="M9" s="86"/>
      <c r="N9" s="86"/>
    </row>
    <row r="10" spans="1:24" ht="49.5" customHeight="1" x14ac:dyDescent="0.25">
      <c r="A10" s="123" t="s">
        <v>155</v>
      </c>
      <c r="B10" s="120" t="s">
        <v>188</v>
      </c>
      <c r="C10" s="121"/>
      <c r="D10" s="121"/>
      <c r="E10" s="121"/>
      <c r="F10" s="121"/>
      <c r="G10" s="122"/>
      <c r="H10" s="88"/>
      <c r="I10" s="88"/>
      <c r="J10" s="88"/>
      <c r="K10" s="88"/>
      <c r="L10" s="91"/>
      <c r="M10" s="89"/>
      <c r="N10" s="89"/>
    </row>
    <row r="11" spans="1:24" ht="24" customHeight="1" x14ac:dyDescent="0.25">
      <c r="A11" s="123" t="s">
        <v>169</v>
      </c>
      <c r="B11" s="114" t="s">
        <v>184</v>
      </c>
      <c r="C11" s="115"/>
      <c r="D11" s="115"/>
      <c r="E11" s="115"/>
      <c r="F11" s="115"/>
      <c r="G11" s="116"/>
      <c r="H11" s="88"/>
      <c r="I11" s="88"/>
      <c r="J11" s="88"/>
      <c r="K11" s="88"/>
      <c r="L11" s="92"/>
      <c r="M11" s="90"/>
      <c r="N11" s="90"/>
    </row>
    <row r="12" spans="1:24" ht="20.25" customHeight="1" x14ac:dyDescent="0.25">
      <c r="A12" s="123" t="s">
        <v>156</v>
      </c>
      <c r="B12" s="117"/>
      <c r="C12" s="118"/>
      <c r="D12" s="118"/>
      <c r="E12" s="118"/>
      <c r="F12" s="118"/>
      <c r="G12" s="119"/>
      <c r="H12" s="88"/>
      <c r="I12" s="88"/>
      <c r="J12" s="88"/>
      <c r="K12" s="88"/>
      <c r="L12" s="92"/>
      <c r="M12" s="90"/>
      <c r="N12" s="90"/>
    </row>
    <row r="13" spans="1:24" ht="91.5" customHeight="1" x14ac:dyDescent="0.25">
      <c r="A13" s="123" t="s">
        <v>157</v>
      </c>
      <c r="B13" s="108" t="s">
        <v>170</v>
      </c>
      <c r="C13" s="108"/>
      <c r="D13" s="108"/>
      <c r="E13" s="108"/>
      <c r="F13" s="108"/>
      <c r="G13" s="108"/>
      <c r="H13" s="88"/>
      <c r="I13" s="88"/>
      <c r="J13" s="88"/>
      <c r="K13" s="88"/>
      <c r="L13" s="86"/>
      <c r="M13" s="86"/>
      <c r="N13" s="86"/>
    </row>
    <row r="14" spans="1:24" x14ac:dyDescent="0.25">
      <c r="A14" s="123" t="s">
        <v>158</v>
      </c>
      <c r="B14" s="108" t="s">
        <v>184</v>
      </c>
      <c r="C14" s="108"/>
      <c r="D14" s="108"/>
      <c r="E14" s="108"/>
      <c r="F14" s="108"/>
      <c r="G14" s="108"/>
      <c r="H14" s="88"/>
      <c r="I14" s="88"/>
      <c r="J14" s="88"/>
      <c r="K14" s="88"/>
      <c r="L14" s="92"/>
      <c r="M14" s="90"/>
      <c r="N14" s="90"/>
    </row>
    <row r="15" spans="1:24" x14ac:dyDescent="0.25">
      <c r="A15" s="123" t="s">
        <v>159</v>
      </c>
      <c r="B15" s="108"/>
      <c r="C15" s="108"/>
      <c r="D15" s="108"/>
      <c r="E15" s="108"/>
      <c r="F15" s="108"/>
      <c r="G15" s="108"/>
      <c r="H15" s="88"/>
      <c r="I15" s="88"/>
      <c r="J15" s="88"/>
      <c r="K15" s="88"/>
      <c r="L15" s="92"/>
      <c r="M15" s="90"/>
      <c r="N15" s="90"/>
    </row>
    <row r="16" spans="1:24" x14ac:dyDescent="0.25">
      <c r="A16" s="123" t="s">
        <v>160</v>
      </c>
      <c r="B16" s="108"/>
      <c r="C16" s="108"/>
      <c r="D16" s="108"/>
      <c r="E16" s="108"/>
      <c r="F16" s="108"/>
      <c r="G16" s="108"/>
      <c r="H16" s="88"/>
      <c r="I16" s="88"/>
      <c r="J16" s="88"/>
      <c r="K16" s="88"/>
      <c r="L16" s="92"/>
      <c r="M16" s="90"/>
      <c r="N16" s="90"/>
    </row>
    <row r="17" spans="1:14" x14ac:dyDescent="0.25">
      <c r="A17" s="123" t="s">
        <v>161</v>
      </c>
      <c r="B17" s="108"/>
      <c r="C17" s="108"/>
      <c r="D17" s="108"/>
      <c r="E17" s="108"/>
      <c r="F17" s="108"/>
      <c r="G17" s="108"/>
      <c r="H17" s="88"/>
      <c r="I17" s="88"/>
      <c r="J17" s="88"/>
      <c r="K17" s="88"/>
      <c r="L17" s="92"/>
      <c r="M17" s="90"/>
      <c r="N17" s="90"/>
    </row>
    <row r="18" spans="1:14" ht="30" customHeight="1" x14ac:dyDescent="0.25">
      <c r="A18" s="123" t="s">
        <v>162</v>
      </c>
      <c r="B18" s="108" t="s">
        <v>172</v>
      </c>
      <c r="C18" s="108"/>
      <c r="D18" s="108"/>
      <c r="E18" s="108"/>
      <c r="F18" s="108"/>
      <c r="G18" s="108"/>
      <c r="H18" s="87"/>
      <c r="I18" s="87"/>
      <c r="J18" s="87"/>
      <c r="K18" s="87"/>
      <c r="L18" s="86"/>
      <c r="M18" s="86"/>
      <c r="N18" s="86"/>
    </row>
    <row r="19" spans="1:14" ht="30" customHeight="1" x14ac:dyDescent="0.25">
      <c r="A19" s="123" t="s">
        <v>163</v>
      </c>
      <c r="B19" s="108"/>
      <c r="C19" s="108"/>
      <c r="D19" s="108"/>
      <c r="E19" s="108"/>
      <c r="F19" s="108"/>
      <c r="G19" s="108"/>
      <c r="H19" s="87"/>
      <c r="I19" s="87"/>
      <c r="J19" s="87"/>
      <c r="K19" s="87"/>
      <c r="L19" s="86"/>
      <c r="M19" s="86"/>
      <c r="N19" s="86"/>
    </row>
    <row r="20" spans="1:14" ht="30" customHeight="1" x14ac:dyDescent="0.25">
      <c r="A20" s="123" t="s">
        <v>164</v>
      </c>
      <c r="B20" s="108"/>
      <c r="C20" s="108"/>
      <c r="D20" s="108"/>
      <c r="E20" s="108"/>
      <c r="F20" s="108"/>
      <c r="G20" s="108"/>
      <c r="H20" s="87"/>
      <c r="I20" s="87"/>
      <c r="J20" s="87"/>
      <c r="K20" s="87"/>
      <c r="L20" s="86"/>
      <c r="M20" s="86"/>
      <c r="N20" s="86"/>
    </row>
    <row r="21" spans="1:14" ht="84.75" customHeight="1" x14ac:dyDescent="0.25">
      <c r="A21" s="123" t="s">
        <v>165</v>
      </c>
      <c r="B21" s="108" t="s">
        <v>171</v>
      </c>
      <c r="C21" s="108"/>
      <c r="D21" s="108"/>
      <c r="E21" s="108"/>
      <c r="F21" s="108"/>
      <c r="G21" s="108"/>
      <c r="H21" s="87"/>
      <c r="I21" s="87"/>
      <c r="J21" s="87"/>
      <c r="K21" s="87"/>
      <c r="L21" s="86"/>
      <c r="M21" s="86"/>
      <c r="N21" s="86"/>
    </row>
    <row r="22" spans="1:14" ht="42" customHeight="1" x14ac:dyDescent="0.25">
      <c r="A22" s="123" t="s">
        <v>146</v>
      </c>
      <c r="B22" s="108" t="s">
        <v>177</v>
      </c>
      <c r="C22" s="108"/>
      <c r="D22" s="108"/>
      <c r="E22" s="108"/>
      <c r="F22" s="108"/>
      <c r="G22" s="108"/>
      <c r="H22" s="93"/>
      <c r="I22" s="93"/>
      <c r="J22" s="93"/>
      <c r="K22" s="93"/>
      <c r="L22" s="91"/>
      <c r="M22" s="89"/>
      <c r="N22" s="89"/>
    </row>
    <row r="23" spans="1:14" ht="41.25" customHeight="1" x14ac:dyDescent="0.25">
      <c r="A23" s="123" t="s">
        <v>166</v>
      </c>
      <c r="B23" s="108"/>
      <c r="C23" s="108"/>
      <c r="D23" s="108"/>
      <c r="E23" s="108"/>
      <c r="F23" s="108"/>
      <c r="G23" s="108"/>
      <c r="H23" s="93"/>
      <c r="I23" s="93"/>
      <c r="J23" s="93"/>
      <c r="K23" s="93"/>
      <c r="L23" s="91"/>
      <c r="M23" s="89"/>
      <c r="N23" s="89"/>
    </row>
    <row r="24" spans="1:14" ht="60.75" customHeight="1" x14ac:dyDescent="0.25">
      <c r="A24" s="123" t="s">
        <v>167</v>
      </c>
      <c r="B24" s="108" t="s">
        <v>185</v>
      </c>
      <c r="C24" s="108"/>
      <c r="D24" s="108"/>
      <c r="E24" s="108"/>
      <c r="F24" s="108"/>
      <c r="G24" s="108"/>
      <c r="H24" s="94"/>
      <c r="I24" s="94"/>
      <c r="J24" s="94"/>
      <c r="K24" s="94"/>
      <c r="L24" s="92"/>
      <c r="M24" s="90"/>
      <c r="N24" s="90"/>
    </row>
  </sheetData>
  <mergeCells count="18">
    <mergeCell ref="B24:G24"/>
    <mergeCell ref="B18:G20"/>
    <mergeCell ref="B21:G21"/>
    <mergeCell ref="B22:G23"/>
    <mergeCell ref="U1:X1"/>
    <mergeCell ref="B13:G13"/>
    <mergeCell ref="B14:G17"/>
    <mergeCell ref="U2:X3"/>
    <mergeCell ref="B6:G6"/>
    <mergeCell ref="B7:G9"/>
    <mergeCell ref="F1:G1"/>
    <mergeCell ref="H1:I1"/>
    <mergeCell ref="K1:L1"/>
    <mergeCell ref="O1:P1"/>
    <mergeCell ref="M1:N1"/>
    <mergeCell ref="L6:N6"/>
    <mergeCell ref="B11:G12"/>
    <mergeCell ref="B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4</vt:i4>
      </vt:variant>
    </vt:vector>
  </HeadingPairs>
  <TitlesOfParts>
    <vt:vector size="7" baseType="lpstr">
      <vt:lpstr>CAES</vt:lpstr>
      <vt:lpstr>Data</vt:lpstr>
      <vt:lpstr>Uncertanties</vt:lpstr>
      <vt:lpstr>URTI_L</vt:lpstr>
      <vt:lpstr>URTI_U</vt:lpstr>
      <vt:lpstr>15_EC</vt:lpstr>
      <vt:lpstr>16_CC</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cp:revision/>
  <dcterms:created xsi:type="dcterms:W3CDTF">2020-01-17T09:15:11Z</dcterms:created>
  <dcterms:modified xsi:type="dcterms:W3CDTF">2020-05-06T17:04:51Z</dcterms:modified>
</cp:coreProperties>
</file>