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03-PROY ALM ENE\04-INFORMES\R-D2\Tablas V11\"/>
    </mc:Choice>
  </mc:AlternateContent>
  <xr:revisionPtr revIDLastSave="0" documentId="13_ncr:1_{70160147-D9BB-4670-B546-8033CB48194D}" xr6:coauthVersionLast="45" xr6:coauthVersionMax="45" xr10:uidLastSave="{00000000-0000-0000-0000-000000000000}"/>
  <bookViews>
    <workbookView xWindow="-120" yWindow="-120" windowWidth="29040" windowHeight="15840" xr2:uid="{00000000-000D-0000-FFFF-FFFF00000000}"/>
  </bookViews>
  <sheets>
    <sheet name="NaS" sheetId="1" r:id="rId1"/>
    <sheet name="Data" sheetId="2" r:id="rId2"/>
    <sheet name="Uncertanties" sheetId="10" r:id="rId3"/>
    <sheet name="03URT_L" sheetId="11" r:id="rId4"/>
    <sheet name="03URT_U" sheetId="12" r:id="rId5"/>
    <sheet name="04UTL_L" sheetId="13" r:id="rId6"/>
    <sheet name="04UTL_U" sheetId="14" r:id="rId7"/>
    <sheet name="05UOP_L" sheetId="15" r:id="rId8"/>
    <sheet name="05UOP_U" sheetId="16" r:id="rId9"/>
    <sheet name="17_EC" sheetId="4" r:id="rId10"/>
    <sheet name="18_CC" sheetId="5" r:id="rId11"/>
    <sheet name="06ULT_L" sheetId="17" r:id="rId12"/>
  </sheets>
  <externalReferences>
    <externalReference r:id="rId13"/>
    <externalReference r:id="rId14"/>
    <externalReference r:id="rId15"/>
  </externalReferences>
  <definedNames>
    <definedName name="BTV11_15">'[1]arbejds ark LARGE New'!$K$33</definedName>
    <definedName name="BVT17_15">'[1]arbejds ark LARGE New'!$S$67</definedName>
    <definedName name="EUR16tilEUR15">'[1]22 Photovoltaics  LARGE Old'!$N$2</definedName>
    <definedName name="Index">#REF!</definedName>
    <definedName name="Sheet">#REF!</definedName>
    <definedName name="Start10" localSheetId="0">'[2]Li-Ion Battery'!#REF!</definedName>
    <definedName name="Start10">'[3]03 Lithium Ion Battery'!#REF!</definedName>
    <definedName name="Start11" localSheetId="0">#REF!</definedName>
    <definedName name="Start12" localSheetId="0">NaS!#REF!</definedName>
    <definedName name="Start13" localSheetId="0">#REF!</definedName>
    <definedName name="Start13">#REF!</definedName>
    <definedName name="Start14" localSheetId="0">#REF!</definedName>
    <definedName name="Start14">#REF!</definedName>
    <definedName name="Start15" localSheetId="0">#REF!</definedName>
    <definedName name="Start15">#REF!</definedName>
    <definedName name="Start16" localSheetId="0">#REF!</definedName>
    <definedName name="Start16">#REF!</definedName>
    <definedName name="Start17" localSheetId="0">#REF!</definedName>
    <definedName name="Start17">#REF!</definedName>
    <definedName name="Start18" localSheetId="0">#REF!</definedName>
    <definedName name="Start18">#REF!</definedName>
    <definedName name="Start19" localSheetId="0">#REF!</definedName>
    <definedName name="Start19">#REF!</definedName>
    <definedName name="Start2">#REF!</definedName>
    <definedName name="Start20" localSheetId="0">#REF!</definedName>
    <definedName name="Start20">#REF!</definedName>
    <definedName name="Start21" localSheetId="0">#REF!</definedName>
    <definedName name="Start21">#REF!</definedName>
    <definedName name="Start22" localSheetId="0">#REF!</definedName>
    <definedName name="Start22">#REF!</definedName>
    <definedName name="Start23" localSheetId="0">#REF!</definedName>
    <definedName name="Start23">#REF!</definedName>
    <definedName name="Start24" localSheetId="0">#REF!</definedName>
    <definedName name="Start24">#REF!</definedName>
    <definedName name="Start25" localSheetId="0">#REF!</definedName>
    <definedName name="Start25">#REF!</definedName>
    <definedName name="Start26" localSheetId="0">#REF!</definedName>
    <definedName name="Start26">#REF!</definedName>
    <definedName name="Start27" localSheetId="0">#REF!</definedName>
    <definedName name="Start27">#REF!</definedName>
    <definedName name="Start28" localSheetId="0">#REF!</definedName>
    <definedName name="Start28">#REF!</definedName>
    <definedName name="Start29" localSheetId="0">#REF!</definedName>
    <definedName name="Start29">#REF!</definedName>
    <definedName name="Start3">#REF!</definedName>
    <definedName name="Start30" localSheetId="0">#REF!</definedName>
    <definedName name="Start30">#REF!</definedName>
    <definedName name="Start31" localSheetId="0">#REF!</definedName>
    <definedName name="Start31">#REF!</definedName>
    <definedName name="Start32" localSheetId="0">#REF!</definedName>
    <definedName name="Start32">#REF!</definedName>
    <definedName name="Start33" localSheetId="0">#REF!</definedName>
    <definedName name="Start33">#REF!</definedName>
    <definedName name="Start34" localSheetId="0">#REF!</definedName>
    <definedName name="Start34">#REF!</definedName>
    <definedName name="Start35" localSheetId="0">#REF!</definedName>
    <definedName name="Start35">#REF!</definedName>
    <definedName name="Start36" localSheetId="0">#REF!</definedName>
    <definedName name="Start36">#REF!</definedName>
    <definedName name="Start37" localSheetId="0">#REF!</definedName>
    <definedName name="Start37">#REF!</definedName>
    <definedName name="Start38" localSheetId="0">#REF!</definedName>
    <definedName name="Start38">#REF!</definedName>
    <definedName name="Start39" localSheetId="0">#REF!</definedName>
    <definedName name="Start39">#REF!</definedName>
    <definedName name="Start4">#REF!</definedName>
    <definedName name="Start40" localSheetId="0">#REF!</definedName>
    <definedName name="Start40">#REF!</definedName>
    <definedName name="Start41" localSheetId="0">#REF!</definedName>
    <definedName name="Start41">#REF!</definedName>
    <definedName name="Start42" localSheetId="0">#REF!</definedName>
    <definedName name="Start42">#REF!</definedName>
    <definedName name="Start43" localSheetId="0">#REF!</definedName>
    <definedName name="Start43">#REF!</definedName>
    <definedName name="Start44" localSheetId="0">#REF!</definedName>
    <definedName name="Start44">#REF!</definedName>
    <definedName name="Start45" localSheetId="0">#REF!</definedName>
    <definedName name="Start45">#REF!</definedName>
    <definedName name="Start46" localSheetId="0">#REF!</definedName>
    <definedName name="Start46">#REF!</definedName>
    <definedName name="Start47" localSheetId="0">#REF!</definedName>
    <definedName name="Start47">#REF!</definedName>
    <definedName name="Start5">#REF!</definedName>
    <definedName name="Start6">#REF!</definedName>
    <definedName name="Start7" localSheetId="0">#REF!</definedName>
    <definedName name="Start7">#REF!</definedName>
    <definedName name="Start8" localSheetId="0">[2]CAES!#REF!</definedName>
    <definedName name="Start9" localSheetId="0">[2]Flywheels!#REF!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2" l="1"/>
  <c r="G19" i="2"/>
  <c r="M19" i="2" s="1"/>
  <c r="I21" i="2" l="1"/>
  <c r="I20" i="2"/>
  <c r="G21" i="2"/>
  <c r="M21" i="2" s="1"/>
  <c r="G20" i="2"/>
  <c r="M20" i="2" s="1"/>
  <c r="D8" i="2"/>
  <c r="D7" i="2"/>
  <c r="N20" i="2" l="1"/>
  <c r="E27" i="1" s="1"/>
  <c r="D27" i="1"/>
  <c r="N21" i="2"/>
  <c r="E28" i="1" s="1"/>
  <c r="D28" i="1"/>
  <c r="D5" i="2"/>
  <c r="F5" i="2" s="1"/>
  <c r="H5" i="2" s="1"/>
  <c r="D4" i="2"/>
  <c r="F4" i="2" s="1"/>
  <c r="H4" i="2" s="1"/>
  <c r="D3" i="2"/>
  <c r="F3" i="2" s="1"/>
  <c r="F25" i="2" l="1"/>
  <c r="F24" i="2"/>
  <c r="H3" i="2"/>
  <c r="D25" i="2"/>
  <c r="D24" i="2"/>
  <c r="G12" i="2"/>
  <c r="H25" i="2" l="1"/>
  <c r="H24" i="2"/>
  <c r="H18" i="2"/>
  <c r="E25" i="1" s="1"/>
  <c r="F18" i="2"/>
  <c r="D18" i="2"/>
  <c r="H17" i="2"/>
  <c r="D16" i="2" l="1"/>
  <c r="D22" i="2"/>
  <c r="E24" i="1"/>
  <c r="H22" i="2"/>
  <c r="H16" i="2"/>
  <c r="F22" i="2"/>
  <c r="F16" i="2"/>
  <c r="I28" i="1"/>
  <c r="H28" i="1"/>
  <c r="G28" i="1"/>
  <c r="F28" i="1"/>
  <c r="C28" i="1"/>
  <c r="I27" i="1"/>
  <c r="H27" i="1"/>
  <c r="G27" i="1"/>
  <c r="F27" i="1"/>
  <c r="I34" i="1" l="1"/>
  <c r="I33" i="1"/>
  <c r="H34" i="1"/>
  <c r="H33" i="1"/>
  <c r="F18" i="1"/>
  <c r="L6" i="10"/>
  <c r="R5" i="10"/>
  <c r="O6" i="10"/>
  <c r="S6" i="10" s="1"/>
  <c r="N6" i="10"/>
  <c r="R6" i="10" s="1"/>
  <c r="K6" i="10"/>
  <c r="M6" i="10" s="1"/>
  <c r="I18" i="1" s="1"/>
  <c r="J6" i="10"/>
  <c r="M5" i="10"/>
  <c r="L5" i="10"/>
  <c r="Y5" i="10"/>
  <c r="X5" i="10"/>
  <c r="Y4" i="10"/>
  <c r="O5" i="10"/>
  <c r="N5" i="10"/>
  <c r="K5" i="10"/>
  <c r="G26" i="1" s="1"/>
  <c r="J5" i="10"/>
  <c r="X4" i="10" s="1"/>
  <c r="F16" i="1"/>
  <c r="M4" i="10"/>
  <c r="L4" i="10"/>
  <c r="U3" i="10"/>
  <c r="O4" i="10"/>
  <c r="V4" i="10" s="1"/>
  <c r="N4" i="10"/>
  <c r="U4" i="10" s="1"/>
  <c r="K4" i="10"/>
  <c r="G16" i="1" s="1"/>
  <c r="J4" i="10"/>
  <c r="M3" i="10"/>
  <c r="L3" i="10"/>
  <c r="R2" i="10"/>
  <c r="S3" i="10"/>
  <c r="O3" i="10"/>
  <c r="N3" i="10"/>
  <c r="R3" i="10" s="1"/>
  <c r="K3" i="10"/>
  <c r="S2" i="10" s="1"/>
  <c r="J3" i="10"/>
  <c r="F10" i="1" s="1"/>
  <c r="F11" i="1" s="1"/>
  <c r="F12" i="1" s="1"/>
  <c r="C11" i="1"/>
  <c r="C12" i="1" s="1"/>
  <c r="G18" i="1" l="1"/>
  <c r="V3" i="10"/>
  <c r="F26" i="1"/>
  <c r="S5" i="10"/>
  <c r="G10" i="1"/>
  <c r="G11" i="1" s="1"/>
  <c r="G12" i="1" s="1"/>
  <c r="I8" i="1"/>
  <c r="I9" i="1" s="1"/>
  <c r="H8" i="1"/>
  <c r="H31" i="1" s="1"/>
  <c r="G8" i="1"/>
  <c r="F8" i="1"/>
  <c r="I32" i="1" l="1"/>
  <c r="F32" i="1"/>
  <c r="F31" i="1"/>
  <c r="G32" i="1"/>
  <c r="G31" i="1"/>
  <c r="I31" i="1"/>
  <c r="F9" i="1"/>
  <c r="H32" i="1"/>
  <c r="G9" i="1"/>
  <c r="H9" i="1"/>
  <c r="P5" i="2"/>
  <c r="P4" i="2"/>
  <c r="F30" i="1"/>
  <c r="G23" i="1" l="1"/>
  <c r="F23" i="1"/>
  <c r="G30" i="1"/>
  <c r="E8" i="1"/>
  <c r="D8" i="1"/>
  <c r="C8" i="1"/>
  <c r="C23" i="1" l="1"/>
  <c r="C30" i="1"/>
  <c r="C9" i="1"/>
  <c r="C31" i="1"/>
  <c r="D9" i="1"/>
  <c r="D31" i="1"/>
  <c r="D32" i="1"/>
  <c r="C32" i="1"/>
  <c r="E9" i="1"/>
  <c r="E31" i="1"/>
  <c r="E32" i="1"/>
  <c r="I12" i="2" l="1"/>
  <c r="M12" i="2"/>
  <c r="I6" i="2"/>
  <c r="G6" i="2"/>
  <c r="M6" i="2" s="1"/>
  <c r="F8" i="2" l="1"/>
  <c r="F7" i="2"/>
  <c r="D10" i="1"/>
  <c r="N12" i="2"/>
  <c r="E16" i="1" s="1"/>
  <c r="N6" i="2"/>
  <c r="D26" i="1"/>
  <c r="N19" i="2"/>
  <c r="E26" i="1" s="1"/>
  <c r="D16" i="1"/>
  <c r="E10" i="1" l="1"/>
  <c r="E11" i="1" s="1"/>
  <c r="E12" i="1" s="1"/>
  <c r="H8" i="2"/>
  <c r="H7" i="2"/>
  <c r="I10" i="1"/>
  <c r="I11" i="1" s="1"/>
  <c r="I12" i="1" s="1"/>
  <c r="D11" i="1"/>
  <c r="D12" i="1" s="1"/>
  <c r="H10" i="1"/>
  <c r="H11" i="1" s="1"/>
  <c r="H12" i="1" s="1"/>
  <c r="I26" i="1"/>
  <c r="H26" i="1"/>
  <c r="D30" i="1"/>
  <c r="D23" i="1"/>
  <c r="I16" i="1"/>
  <c r="H16" i="1"/>
  <c r="E30" i="1"/>
  <c r="E23" i="1"/>
  <c r="H23" i="1" l="1"/>
  <c r="H30" i="1"/>
  <c r="I30" i="1"/>
  <c r="I23" i="1"/>
</calcChain>
</file>

<file path=xl/sharedStrings.xml><?xml version="1.0" encoding="utf-8"?>
<sst xmlns="http://schemas.openxmlformats.org/spreadsheetml/2006/main" count="281" uniqueCount="194">
  <si>
    <t>Technology</t>
  </si>
  <si>
    <t>NaS battery</t>
  </si>
  <si>
    <t>Uncertainty (2020)</t>
  </si>
  <si>
    <t>Note</t>
  </si>
  <si>
    <t>Ref</t>
  </si>
  <si>
    <t>Energy/technical data</t>
  </si>
  <si>
    <t>Lower</t>
  </si>
  <si>
    <t>Upper</t>
  </si>
  <si>
    <t>Upper </t>
  </si>
  <si>
    <t>Form of energy stored</t>
  </si>
  <si>
    <t>Electro-chemical</t>
  </si>
  <si>
    <t>Application</t>
  </si>
  <si>
    <t>Energy storage capacity for one unit (MWh)</t>
  </si>
  <si>
    <t>[1]</t>
  </si>
  <si>
    <t>Output capacity for one unit (MW)</t>
  </si>
  <si>
    <t>Input capacity for one unit (MW)</t>
  </si>
  <si>
    <t>A</t>
  </si>
  <si>
    <t>Round trip efficiency - DC (%)</t>
  </si>
  <si>
    <t>average</t>
  </si>
  <si>
    <t>[2], [3], [4], [5]</t>
  </si>
  <si>
    <t>[2]</t>
  </si>
  <si>
    <t xml:space="preserve"> - Discharge efficiency (%)</t>
  </si>
  <si>
    <t>Energy losses during storage (%/day)</t>
  </si>
  <si>
    <t>Forced outage (%)</t>
  </si>
  <si>
    <t>B</t>
  </si>
  <si>
    <t>Planned outage (weeks per year)</t>
  </si>
  <si>
    <t>C</t>
  </si>
  <si>
    <t>Technical lifetime (years)</t>
  </si>
  <si>
    <t xml:space="preserve"> [2], [4], [5]</t>
  </si>
  <si>
    <t>Construction time (years)</t>
  </si>
  <si>
    <t xml:space="preserve"> [2]</t>
  </si>
  <si>
    <t>Regulation ability</t>
  </si>
  <si>
    <t>Response time from idle to full-rated discharge (sec)</t>
  </si>
  <si>
    <t>D</t>
  </si>
  <si>
    <t>Response time from full-rated charge to full-rated discharge (sec)</t>
  </si>
  <si>
    <t xml:space="preserve">Financial data                                 </t>
  </si>
  <si>
    <t xml:space="preserve"> - energy component (MUSD/MWh)</t>
  </si>
  <si>
    <t xml:space="preserve"> - capacity component (MUSD/MW) </t>
  </si>
  <si>
    <t>G</t>
  </si>
  <si>
    <t xml:space="preserve"> - other project costs (MUSD/MWh)</t>
  </si>
  <si>
    <t>H</t>
  </si>
  <si>
    <t>I</t>
  </si>
  <si>
    <t>Technology specific data</t>
  </si>
  <si>
    <t>Alternative Investment cost (MUSD2020/MW)</t>
  </si>
  <si>
    <t>Lifetime in total number of cycles</t>
  </si>
  <si>
    <t>Specific power (W/kg)</t>
  </si>
  <si>
    <t>Power density (W/m3)</t>
  </si>
  <si>
    <t>Specific energy (Wh/kg)</t>
  </si>
  <si>
    <t>Energy density (Wh/m3)</t>
  </si>
  <si>
    <t>Notes:</t>
  </si>
  <si>
    <t>Assumed to be the same as output</t>
  </si>
  <si>
    <t>Forced outage is minimal. Only reported case is a 2011 fire incident</t>
  </si>
  <si>
    <t>On the order of 1 h per year.</t>
  </si>
  <si>
    <t>Due to absence of predictions in literature, no development is assumed as an estimate.</t>
  </si>
  <si>
    <t>In the absence of data, it is inferred from the round trip efficiency which is assumed as the product of charge and discharge efficiency and is considered equal, also due to the lack of data</t>
  </si>
  <si>
    <t>References</t>
  </si>
  <si>
    <t>IRENA (2017). Electricity storage and renewables: Costs and markets to 2030. Cost of service tool. Available in: https://www.irena.org/publications/2017/Oct/Electricity-storage-and-renewables-costs-and-markets</t>
  </si>
  <si>
    <t>Danish Energy Agency. (2019). Technogy Data for Energy Storage. Copenhagen, Denmark. Retrieved from https://ens.dk/sites/ens.dk/files/Analyser/technology_data_catalogue_for_energy_storage.pdf</t>
  </si>
  <si>
    <t>[3]</t>
  </si>
  <si>
    <t>Subburaj, A. S., Pushpakaran, B. N., &amp; Bayne, S. B. (2015). Overview of grid connected renewable energy based battery projects in USA. Renewable and Sustainable Energy Reviews, 45, 219–234. https://doi.org/https://doi.org/10.1016/j.rser.2015.01.052</t>
  </si>
  <si>
    <t>[4]</t>
  </si>
  <si>
    <t>IRENA, Battery storage technology improvements and cost reductions to 2030: A Deep Dive, March 2017, https://www.irena.org/-/media/Files/IRENA/Agency/Events/2017/Mar/15/2017_Kairies_Battery_Cost_and_Performance_01.pd</t>
  </si>
  <si>
    <t>[5]</t>
  </si>
  <si>
    <t>Exchange ratio between the years 2030 and 2020</t>
  </si>
  <si>
    <t>Exchange ratio between the years 2050 and 2030</t>
  </si>
  <si>
    <t>Technical Data</t>
  </si>
  <si>
    <t>30 - 20</t>
  </si>
  <si>
    <t>50 - 30</t>
  </si>
  <si>
    <t>Reference</t>
  </si>
  <si>
    <t>Lifetime in Total Number of Cycle</t>
  </si>
  <si>
    <t>Specific Energy (Wh/kg)</t>
  </si>
  <si>
    <t>Energy Density (Wh/m3)</t>
  </si>
  <si>
    <t>Frequency Restoration Reserve (2h)</t>
  </si>
  <si>
    <t>[1], [2]</t>
  </si>
  <si>
    <t>[6]</t>
  </si>
  <si>
    <t>Uncertainty (2030)</t>
  </si>
  <si>
    <t>[7]</t>
  </si>
  <si>
    <t>Variable O&amp;M (USD2020/MWh)</t>
  </si>
  <si>
    <t>C rate</t>
  </si>
  <si>
    <t>2020 (Uncertainty)</t>
  </si>
  <si>
    <t>2050 (Uncertainty)</t>
  </si>
  <si>
    <t>Exchange ratio 2020</t>
  </si>
  <si>
    <t>Exchange ratio 2030</t>
  </si>
  <si>
    <t>Exchange ratio 2050</t>
  </si>
  <si>
    <t>Year</t>
  </si>
  <si>
    <t>Lower (%)</t>
  </si>
  <si>
    <t>Upper (%)</t>
  </si>
  <si>
    <t xml:space="preserve">Lifetime in Total Number of Cycles </t>
  </si>
  <si>
    <t>Schmidt, O., Melchior, S., Hawkes, A., &amp; Staffell, I. (2019). Projecting the Future Levelized Cost of Electricity Storage Technologies. Joule, 3(1), 81–100. https://doi.org/10.1016/j.joule.2018.12.008</t>
  </si>
  <si>
    <t>Fixed O&amp;M (kUSD2020/MW)</t>
  </si>
  <si>
    <t>E</t>
  </si>
  <si>
    <t>F</t>
  </si>
  <si>
    <t>G,H,I</t>
  </si>
  <si>
    <t xml:space="preserve">Not the technological maximum values, i.e., the density of single cells, but the specifications for a full market-standard commercial product.  </t>
  </si>
  <si>
    <t>Uncertainties are based on a qualified guess.</t>
  </si>
  <si>
    <t>Specific power and power density wer upscaled from [2] taking into account the different energy to power ratio</t>
  </si>
  <si>
    <t>Data for standard NGK container unit, based on NGK Insulators LTD, “Structure of NAS Energy Storage System,” 2016. [Online]. Available: https://www.ngk.co.jp/nas/specs/.</t>
  </si>
  <si>
    <t>ABB</t>
  </si>
  <si>
    <t>ESC</t>
  </si>
  <si>
    <t>OCO</t>
  </si>
  <si>
    <t>ICO</t>
  </si>
  <si>
    <t>RTE</t>
  </si>
  <si>
    <t>CE</t>
  </si>
  <si>
    <t>DE</t>
  </si>
  <si>
    <t>ELS</t>
  </si>
  <si>
    <t>FO</t>
  </si>
  <si>
    <t>PO</t>
  </si>
  <si>
    <t>TL</t>
  </si>
  <si>
    <t>CT</t>
  </si>
  <si>
    <t>RTI</t>
  </si>
  <si>
    <t>RTF</t>
  </si>
  <si>
    <t>SI</t>
  </si>
  <si>
    <t>EC</t>
  </si>
  <si>
    <t>CC</t>
  </si>
  <si>
    <t>OPC</t>
  </si>
  <si>
    <t>FOM</t>
  </si>
  <si>
    <t>VOM</t>
  </si>
  <si>
    <t>AIC</t>
  </si>
  <si>
    <t>LTN</t>
  </si>
  <si>
    <t>SP</t>
  </si>
  <si>
    <t>PD</t>
  </si>
  <si>
    <t>SE</t>
  </si>
  <si>
    <t>ED</t>
  </si>
  <si>
    <t>NOTE</t>
  </si>
  <si>
    <t>Specific investment (MUSD2020 per MWh)</t>
  </si>
  <si>
    <t xml:space="preserve"> [1]</t>
  </si>
  <si>
    <t>Prodecure followed to determine the projection</t>
  </si>
  <si>
    <t>Prodecure followed to determine the projection in according with the exchange ratio</t>
  </si>
  <si>
    <t>1. The data for 2020 is a point data types for this year, historical data is not available. 2. The projections have a similar numerical behaviour to the datasheet from [2]</t>
  </si>
  <si>
    <r>
      <t xml:space="preserve">Diaz-Gonzalez, F., Sumper, A., &amp; Gomis-Bellmunt, O. (2016). Energy Storage Technologies. In </t>
    </r>
    <r>
      <rPr>
        <i/>
        <sz val="10"/>
        <color theme="1"/>
        <rFont val="Montserrat Medium"/>
        <family val="3"/>
      </rPr>
      <t>Energy Storage in Power Systems</t>
    </r>
    <r>
      <rPr>
        <sz val="10"/>
        <color theme="1"/>
        <rFont val="Montserrat Medium"/>
        <family val="3"/>
      </rPr>
      <t xml:space="preserve"> (pp. 93–141). John Wiley &amp; Sons, Ltd. https://doi.org/10.1002/9781118971291.ch4</t>
    </r>
  </si>
  <si>
    <r>
      <t xml:space="preserve">Zakeri, B., &amp; Syri, S. (2015). Electrical energy storage systems: A comparative life cycle cost analysis. </t>
    </r>
    <r>
      <rPr>
        <i/>
        <sz val="10"/>
        <color theme="1"/>
        <rFont val="Montserrat Medium"/>
        <family val="3"/>
      </rPr>
      <t>Renewable and Sustainable Energy Reviews</t>
    </r>
    <r>
      <rPr>
        <sz val="10"/>
        <color theme="1"/>
        <rFont val="Montserrat Medium"/>
        <family val="3"/>
      </rPr>
      <t xml:space="preserve">, </t>
    </r>
    <r>
      <rPr>
        <i/>
        <sz val="10"/>
        <color theme="1"/>
        <rFont val="Montserrat Medium"/>
        <family val="3"/>
      </rPr>
      <t>42</t>
    </r>
    <r>
      <rPr>
        <sz val="10"/>
        <color theme="1"/>
        <rFont val="Montserrat Medium"/>
        <family val="3"/>
      </rPr>
      <t>, 569–596. https://doi.org/10.1016/j.rser.2014.10.011</t>
    </r>
  </si>
  <si>
    <r>
      <t xml:space="preserve">Alternative Investment Cost </t>
    </r>
    <r>
      <rPr>
        <sz val="10"/>
        <color theme="1"/>
        <rFont val="Montserrat Medium"/>
        <family val="3"/>
      </rPr>
      <t>(MUSD2020 per MW)</t>
    </r>
  </si>
  <si>
    <r>
      <t>Specific Power</t>
    </r>
    <r>
      <rPr>
        <sz val="10"/>
        <color theme="1"/>
        <rFont val="Montserrat Medium"/>
        <family val="3"/>
      </rPr>
      <t xml:space="preserve"> (W/kg)</t>
    </r>
  </si>
  <si>
    <r>
      <t>Power Density</t>
    </r>
    <r>
      <rPr>
        <sz val="10"/>
        <color theme="1"/>
        <rFont val="Montserrat Medium"/>
        <family val="3"/>
      </rPr>
      <t xml:space="preserve"> (W/m3)</t>
    </r>
  </si>
  <si>
    <r>
      <t xml:space="preserve">Energy Storage Capacity for One Unit </t>
    </r>
    <r>
      <rPr>
        <sz val="10"/>
        <color theme="1"/>
        <rFont val="Montserrat Medium"/>
        <family val="3"/>
      </rPr>
      <t>(MWh)</t>
    </r>
  </si>
  <si>
    <r>
      <t xml:space="preserve">Output Capacity for One Unit </t>
    </r>
    <r>
      <rPr>
        <sz val="10"/>
        <color theme="1"/>
        <rFont val="Montserrat Medium"/>
        <family val="3"/>
      </rPr>
      <t>(MW)</t>
    </r>
  </si>
  <si>
    <r>
      <t>Input Capacity for One Unit</t>
    </r>
    <r>
      <rPr>
        <sz val="10"/>
        <color theme="1"/>
        <rFont val="Montserrat Medium"/>
        <family val="3"/>
      </rPr>
      <t xml:space="preserve"> (MW)</t>
    </r>
  </si>
  <si>
    <r>
      <t xml:space="preserve">Round Trip Efficiency </t>
    </r>
    <r>
      <rPr>
        <sz val="10"/>
        <color theme="1"/>
        <rFont val="Montserrat Medium"/>
        <family val="3"/>
      </rPr>
      <t>(%)</t>
    </r>
  </si>
  <si>
    <r>
      <t xml:space="preserve">Charge Efficiency </t>
    </r>
    <r>
      <rPr>
        <sz val="10"/>
        <color theme="1"/>
        <rFont val="Montserrat Medium"/>
        <family val="3"/>
      </rPr>
      <t>(%)</t>
    </r>
  </si>
  <si>
    <r>
      <t xml:space="preserve">Discharge Efficiency </t>
    </r>
    <r>
      <rPr>
        <sz val="10"/>
        <color theme="1"/>
        <rFont val="Montserrat Medium"/>
        <family val="3"/>
      </rPr>
      <t>(%)</t>
    </r>
  </si>
  <si>
    <r>
      <t xml:space="preserve">Energy Losses during Storage </t>
    </r>
    <r>
      <rPr>
        <sz val="10"/>
        <color theme="1"/>
        <rFont val="Montserrat Medium"/>
        <family val="3"/>
      </rPr>
      <t>(%/day)</t>
    </r>
  </si>
  <si>
    <r>
      <t xml:space="preserve">Forced Outage </t>
    </r>
    <r>
      <rPr>
        <sz val="10"/>
        <color theme="1"/>
        <rFont val="Montserrat Medium"/>
        <family val="3"/>
      </rPr>
      <t>(%)</t>
    </r>
  </si>
  <si>
    <r>
      <t xml:space="preserve">Planned Outage </t>
    </r>
    <r>
      <rPr>
        <sz val="10"/>
        <color theme="1"/>
        <rFont val="Montserrat Medium"/>
        <family val="3"/>
      </rPr>
      <t>(weeks per year)</t>
    </r>
  </si>
  <si>
    <r>
      <t xml:space="preserve">Technical Lifetime </t>
    </r>
    <r>
      <rPr>
        <sz val="10"/>
        <color theme="1"/>
        <rFont val="Montserrat Medium"/>
        <family val="3"/>
      </rPr>
      <t>(years)</t>
    </r>
  </si>
  <si>
    <r>
      <t xml:space="preserve">Construction Time </t>
    </r>
    <r>
      <rPr>
        <sz val="10"/>
        <color theme="1"/>
        <rFont val="Montserrat Medium"/>
        <family val="3"/>
      </rPr>
      <t>(years)</t>
    </r>
  </si>
  <si>
    <r>
      <t xml:space="preserve">Response Time from Idle to Full-Rated Discharge </t>
    </r>
    <r>
      <rPr>
        <sz val="10"/>
        <color theme="1"/>
        <rFont val="Montserrat Medium"/>
        <family val="3"/>
      </rPr>
      <t>(sec)</t>
    </r>
  </si>
  <si>
    <r>
      <t xml:space="preserve">Response Time from Full-Rated Charge to Full-Rated Discharge </t>
    </r>
    <r>
      <rPr>
        <sz val="10"/>
        <color theme="1"/>
        <rFont val="Montserrat Medium"/>
        <family val="3"/>
      </rPr>
      <t>(sec)</t>
    </r>
  </si>
  <si>
    <r>
      <t xml:space="preserve">Specific Investment </t>
    </r>
    <r>
      <rPr>
        <sz val="10"/>
        <color theme="1"/>
        <rFont val="Montserrat Medium"/>
        <family val="3"/>
      </rPr>
      <t>(MUSD2015 per MWh)</t>
    </r>
  </si>
  <si>
    <r>
      <t xml:space="preserve">Energy Component </t>
    </r>
    <r>
      <rPr>
        <sz val="10"/>
        <color theme="1"/>
        <rFont val="Montserrat Medium"/>
        <family val="3"/>
      </rPr>
      <t>(MUSD2015 per MWh)</t>
    </r>
  </si>
  <si>
    <r>
      <t xml:space="preserve">Capacity Component </t>
    </r>
    <r>
      <rPr>
        <sz val="10"/>
        <color theme="1"/>
        <rFont val="Montserrat Medium"/>
        <family val="3"/>
      </rPr>
      <t>(MUSD per MW)</t>
    </r>
  </si>
  <si>
    <r>
      <t xml:space="preserve">Other Project Costs </t>
    </r>
    <r>
      <rPr>
        <sz val="10"/>
        <color theme="1"/>
        <rFont val="Montserrat Medium"/>
        <family val="3"/>
      </rPr>
      <t>(MUSD/MWh)</t>
    </r>
  </si>
  <si>
    <r>
      <t xml:space="preserve">Fixed O&amp;M </t>
    </r>
    <r>
      <rPr>
        <sz val="10"/>
        <color theme="1"/>
        <rFont val="Montserrat Medium"/>
        <family val="3"/>
      </rPr>
      <t>(MUSD2020/kW/year)</t>
    </r>
  </si>
  <si>
    <r>
      <t xml:space="preserve">Variable O&amp;M </t>
    </r>
    <r>
      <rPr>
        <sz val="10"/>
        <color theme="1"/>
        <rFont val="Montserrat Medium"/>
        <family val="3"/>
      </rPr>
      <t>(MUSD2020/MW/year)</t>
    </r>
  </si>
  <si>
    <r>
      <t xml:space="preserve">Projection in according with the exchange ratio </t>
    </r>
    <r>
      <rPr>
        <sz val="10"/>
        <color theme="1"/>
        <rFont val="Montserrat Medium"/>
        <family val="3"/>
      </rPr>
      <t>(2030-2020 and 2050-2030)</t>
    </r>
  </si>
  <si>
    <r>
      <t xml:space="preserve">1. The trend of the data for these parameters (in this case exponential decrease) was identified in reference [2] for NaS. 2. The data of years 2016, 2020, 2025, and 2030 was obtained from [1]. 
3. See the exponential projection in bottom flap called </t>
    </r>
    <r>
      <rPr>
        <b/>
        <sz val="10"/>
        <color theme="1"/>
        <rFont val="Montserrat Medium"/>
        <family val="3"/>
      </rPr>
      <t>17_EC and 18_CC.</t>
    </r>
  </si>
  <si>
    <r>
      <t xml:space="preserve">Other Project Cost </t>
    </r>
    <r>
      <rPr>
        <sz val="10"/>
        <color theme="1"/>
        <rFont val="Montserrat Medium"/>
        <family val="3"/>
      </rPr>
      <t>(MUSD/MWh)</t>
    </r>
  </si>
  <si>
    <r>
      <t xml:space="preserve">Energy storage capacity for one unit </t>
    </r>
    <r>
      <rPr>
        <sz val="10"/>
        <color theme="1"/>
        <rFont val="Montserrat Medium"/>
        <family val="3"/>
      </rPr>
      <t>(MWh)</t>
    </r>
  </si>
  <si>
    <r>
      <t xml:space="preserve">Output capacity for one unit </t>
    </r>
    <r>
      <rPr>
        <sz val="10"/>
        <color theme="1"/>
        <rFont val="Montserrat Medium"/>
        <family val="3"/>
      </rPr>
      <t>(MW)</t>
    </r>
  </si>
  <si>
    <r>
      <t xml:space="preserve">Input capacity for one unit </t>
    </r>
    <r>
      <rPr>
        <sz val="10"/>
        <color theme="1"/>
        <rFont val="Montserrat Medium"/>
        <family val="3"/>
      </rPr>
      <t>(MW)</t>
    </r>
  </si>
  <si>
    <r>
      <t xml:space="preserve">Energy losses during storage </t>
    </r>
    <r>
      <rPr>
        <sz val="10"/>
        <color theme="1"/>
        <rFont val="Montserrat Medium"/>
        <family val="3"/>
      </rPr>
      <t>(%/day)</t>
    </r>
  </si>
  <si>
    <r>
      <t xml:space="preserve">Forced outage </t>
    </r>
    <r>
      <rPr>
        <sz val="10"/>
        <color theme="1"/>
        <rFont val="Montserrat Medium"/>
        <family val="3"/>
      </rPr>
      <t>(%)</t>
    </r>
  </si>
  <si>
    <r>
      <t xml:space="preserve">Planned outage </t>
    </r>
    <r>
      <rPr>
        <sz val="10"/>
        <color theme="1"/>
        <rFont val="Montserrat Medium"/>
        <family val="3"/>
      </rPr>
      <t>(weeks per year)</t>
    </r>
  </si>
  <si>
    <r>
      <t xml:space="preserve">Construction time </t>
    </r>
    <r>
      <rPr>
        <sz val="10"/>
        <color theme="1"/>
        <rFont val="Montserrat Medium"/>
        <family val="3"/>
      </rPr>
      <t>(years)</t>
    </r>
  </si>
  <si>
    <r>
      <t xml:space="preserve">Response time from idle to full-rated discharge </t>
    </r>
    <r>
      <rPr>
        <sz val="10"/>
        <color theme="1"/>
        <rFont val="Montserrat Medium"/>
        <family val="3"/>
      </rPr>
      <t>(sec)</t>
    </r>
  </si>
  <si>
    <r>
      <t xml:space="preserve">Response time from full-rated charge to full-rated  discharge </t>
    </r>
    <r>
      <rPr>
        <sz val="10"/>
        <color theme="1"/>
        <rFont val="Montserrat Medium"/>
        <family val="3"/>
      </rPr>
      <t>(sec)</t>
    </r>
  </si>
  <si>
    <r>
      <t xml:space="preserve">Specific investment </t>
    </r>
    <r>
      <rPr>
        <sz val="10"/>
        <color theme="1"/>
        <rFont val="Montserrat Medium"/>
        <family val="3"/>
      </rPr>
      <t>(MUSD2020 per MWh)</t>
    </r>
  </si>
  <si>
    <r>
      <t xml:space="preserve">  -Energy component </t>
    </r>
    <r>
      <rPr>
        <sz val="10"/>
        <color theme="1"/>
        <rFont val="Montserrat Medium"/>
        <family val="3"/>
      </rPr>
      <t>(MUSD2020/MWh)</t>
    </r>
  </si>
  <si>
    <r>
      <t xml:space="preserve">  -Capacity component </t>
    </r>
    <r>
      <rPr>
        <sz val="10"/>
        <color theme="1"/>
        <rFont val="Montserrat Medium"/>
        <family val="3"/>
      </rPr>
      <t>(MUSD2020/MW)</t>
    </r>
  </si>
  <si>
    <r>
      <t xml:space="preserve">Fixed O&amp;M </t>
    </r>
    <r>
      <rPr>
        <sz val="10"/>
        <color theme="1"/>
        <rFont val="Montserrat Medium"/>
        <family val="3"/>
      </rPr>
      <t>(MUSD2020/MW/year)</t>
    </r>
  </si>
  <si>
    <r>
      <t xml:space="preserve">Variable O&amp;M </t>
    </r>
    <r>
      <rPr>
        <sz val="10"/>
        <color theme="1"/>
        <rFont val="Montserrat Medium"/>
        <family val="3"/>
      </rPr>
      <t>(USD2020/MWh/year)</t>
    </r>
  </si>
  <si>
    <r>
      <t xml:space="preserve">Alternative investment cost </t>
    </r>
    <r>
      <rPr>
        <sz val="10"/>
        <color theme="1"/>
        <rFont val="Montserrat Medium"/>
        <family val="3"/>
      </rPr>
      <t>(MUSD2020 per MW)</t>
    </r>
  </si>
  <si>
    <r>
      <t xml:space="preserve">Specific power </t>
    </r>
    <r>
      <rPr>
        <sz val="10"/>
        <color theme="1"/>
        <rFont val="Montserrat Medium"/>
        <family val="3"/>
      </rPr>
      <t>(W/kg)</t>
    </r>
  </si>
  <si>
    <r>
      <t xml:space="preserve">Power density </t>
    </r>
    <r>
      <rPr>
        <sz val="10"/>
        <color theme="1"/>
        <rFont val="Montserrat Medium"/>
        <family val="3"/>
      </rPr>
      <t>(kW/m3)</t>
    </r>
  </si>
  <si>
    <r>
      <t>Specific energy</t>
    </r>
    <r>
      <rPr>
        <sz val="10"/>
        <color theme="1"/>
        <rFont val="Montserrat Medium"/>
        <family val="3"/>
      </rPr>
      <t xml:space="preserve"> (Wh/kg)</t>
    </r>
  </si>
  <si>
    <r>
      <t xml:space="preserve">Energy density </t>
    </r>
    <r>
      <rPr>
        <sz val="10"/>
        <color theme="1"/>
        <rFont val="Montserrat Medium"/>
        <family val="3"/>
      </rPr>
      <t>(kWh/m3)</t>
    </r>
  </si>
  <si>
    <t>1.  The data of years 2015, 2020, 2030, and 2050 showed in this sheets from [2]. 2. The selected data for 2020 is a point data types from [2-5]. 3. The projections have similar numerical behavior to [2] with the estimated exchange ratio applied to estimated the projection of the value from [2-5].</t>
  </si>
  <si>
    <t>1. This technical data was calculated with an equation for Round Trip Efficiency (see Flywheels sheet).   2. In the chapter of Introduccion of the Catalogue, it is defined the equation of Round Trip Efficiency.</t>
  </si>
  <si>
    <t>1. The data for years 2016, 2020, 2025, and 2030 was obtained from [1]. 2. This data is used within the IRENA tool as "Usable Storage Capacity" and "Installed Storage Power". 3. It is considered these parameters will not have a variation in the period 2030-2050 due it technological maturity.</t>
  </si>
  <si>
    <t>1. The trend of the data for these parameters (in this case constant) was identified in reference [1] for NaS. 2. This data is used within the IRENA tool as "Self-discharge". 3. It is considered these parameters will not have a variation in the period 2030-2050 due it technological maturity.</t>
  </si>
  <si>
    <t>1.  The data of years 2015, 2020, 2030, and 2050 showed in this sheets from [2].</t>
  </si>
  <si>
    <t>1.  The data of years 2015, 2020, 2030, and 2050 showed in this sheets from [2]. 2. The selected data for 2020 is a point data types from [2, 4, 5]. 3. The projections have similar numerical behavior to [2] with the estimated exchange ratio applied to estimated the projection of the value from [2, 4, 5].</t>
  </si>
  <si>
    <t>1. This parameter data was calculated with an equation for Specific Investment (see Lithium Ion sheet). 2. In the chapter of Introduccion of the Catalogue, it is defined the equation of Specific Investment.</t>
  </si>
  <si>
    <t>1.  The data of years 2015, 2020, 2030, and 2050 showed in this sheets from [2]. 2. The selected data for 2020 is a point data types from [7]. 3. The projections have similar numerical behavior to [2] with the estimated exchange ratio applied to estimated the projection of the value from [7].</t>
  </si>
  <si>
    <t>1. This data was calculated with an Alternative Investment Cost equation (see NaS sheet). 2. In the chapter of Introduccion of the Catalogue, it is defined the equation of Alternative Investment Cost.</t>
  </si>
  <si>
    <t>1. This technical data was calculated with a Specific Power equation (see LA sheet). 2. In the chapter of Introduccion of the Catalogue, it is defined the equation of Specific Power.</t>
  </si>
  <si>
    <t>1. This technical data was calculated with a Power Density equation (see LA sheet). 2. In the chapter of Introduccion of the Catalogue, it is defined the equation of Power Density.</t>
  </si>
  <si>
    <t>1. The uncertainty for these parameters has the same to [2] because the design is based on the same operational capacities of the energy storage system.</t>
  </si>
  <si>
    <t>1. The uncertainty is calculated with the similar numerical behaviour from [2]. 
2. The exchange ratio for 2030 is estimated by linear regression between the exchange ratio 2020 and 2050.</t>
  </si>
  <si>
    <t>1. The uncertainty for these parameters has the same to [1] because the design is based on the same operational capacities of the energy storage system.</t>
  </si>
  <si>
    <t>1. The uncertainty is the same as [7], to keep the consistency between data (see Table A5 in this reference)</t>
  </si>
  <si>
    <t>1. This technical data was calculated with a Specific Power equation (see NaS sheet). 2. In the chapter of Introduccion of the Catalogue, it is defined the equation of Specific Power.</t>
  </si>
  <si>
    <t>1. This technical data was calculated with a Power Density equation (see Na sheet). 2. In the chapter of Introduccion of the Catalogue, it is defined the equation of Power Density.</t>
  </si>
  <si>
    <t>1. The uncertainty for these parameters has the same behaviour to [1] because the design is based on the same operational capacities of the energy storage system. 2. This data is located within the IRENA tool as "Usable Storage Capacity" and "Installed storage power"</t>
  </si>
  <si>
    <r>
      <t xml:space="preserve"> - </t>
    </r>
    <r>
      <rPr>
        <i/>
        <sz val="9"/>
        <color theme="1"/>
        <rFont val="Montserrat Medium"/>
        <family val="3"/>
      </rPr>
      <t>Charge efficiency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</si>
</sst>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0"/>
    <numFmt numFmtId="166" formatCode="0.000"/>
    <numFmt numFmtId="167" formatCode="0.0000"/>
    <numFmt numFmtId="168" formatCode="0.00000"/>
  </numFmts>
  <fonts count="21" x14ac:knownFonts="1">
    <font>
      <sz val="11"/>
      <color theme="1"/>
      <name val="Calibri"/>
      <family val="2"/>
      <scheme val="minor"/>
    </font>
    <font>
      <sz val="11"/>
      <color theme="1"/>
      <name val="Calibri"/>
      <family val="2"/>
      <scheme val="minor"/>
    </font>
    <font>
      <sz val="10"/>
      <name val="Helv"/>
    </font>
    <font>
      <u/>
      <sz val="10"/>
      <color indexed="12"/>
      <name val="Arial"/>
      <family val="2"/>
    </font>
    <font>
      <u/>
      <sz val="11"/>
      <color theme="10"/>
      <name val="Calibri"/>
      <family val="2"/>
      <scheme val="minor"/>
    </font>
    <font>
      <sz val="11"/>
      <color indexed="62"/>
      <name val="Calibri"/>
      <family val="2"/>
    </font>
    <font>
      <sz val="11"/>
      <color indexed="60"/>
      <name val="Calibri"/>
      <family val="2"/>
    </font>
    <font>
      <sz val="10"/>
      <name val="Arial"/>
      <family val="2"/>
    </font>
    <font>
      <b/>
      <sz val="11"/>
      <color indexed="63"/>
      <name val="Calibri"/>
      <family val="2"/>
    </font>
    <font>
      <b/>
      <sz val="11"/>
      <color indexed="8"/>
      <name val="Calibri"/>
      <family val="2"/>
    </font>
    <font>
      <sz val="11"/>
      <color theme="1"/>
      <name val="Montserrat Medium"/>
      <family val="3"/>
    </font>
    <font>
      <sz val="10"/>
      <color theme="1"/>
      <name val="Montserrat Medium"/>
      <family val="3"/>
    </font>
    <font>
      <b/>
      <sz val="10"/>
      <name val="Montserrat Medium"/>
      <family val="3"/>
    </font>
    <font>
      <b/>
      <sz val="10"/>
      <color theme="1"/>
      <name val="Montserrat Medium"/>
      <family val="3"/>
    </font>
    <font>
      <i/>
      <sz val="10"/>
      <color theme="1"/>
      <name val="Montserrat Medium"/>
      <family val="3"/>
    </font>
    <font>
      <sz val="10"/>
      <color rgb="FF0097A7"/>
      <name val="Montserrat Medium"/>
      <family val="3"/>
    </font>
    <font>
      <b/>
      <sz val="11"/>
      <color theme="1"/>
      <name val="Montserrat Medium"/>
      <family val="3"/>
    </font>
    <font>
      <sz val="9"/>
      <color theme="1"/>
      <name val="Montserrat Medium"/>
      <family val="3"/>
    </font>
    <font>
      <b/>
      <sz val="9"/>
      <color theme="1"/>
      <name val="Montserrat Medium"/>
      <family val="3"/>
    </font>
    <font>
      <sz val="9"/>
      <color rgb="FF000000"/>
      <name val="Montserrat Medium"/>
      <family val="3"/>
    </font>
    <font>
      <i/>
      <sz val="9"/>
      <color theme="1"/>
      <name val="Montserrat Medium"/>
      <family val="3"/>
    </font>
  </fonts>
  <fills count="5">
    <fill>
      <patternFill patternType="none"/>
    </fill>
    <fill>
      <patternFill patternType="gray125"/>
    </fill>
    <fill>
      <patternFill patternType="solid">
        <fgColor indexed="47"/>
      </patternFill>
    </fill>
    <fill>
      <patternFill patternType="solid">
        <fgColor indexed="43"/>
      </patternFill>
    </fill>
    <fill>
      <patternFill patternType="solid">
        <fgColor indexed="22"/>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4">
    <xf numFmtId="0" fontId="0" fillId="0" borderId="0" applyFill="0" applyBorder="0" applyProtection="0"/>
    <xf numFmtId="43" fontId="1"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xf numFmtId="0" fontId="5" fillId="2" borderId="8" applyNumberFormat="0" applyAlignment="0" applyProtection="0"/>
    <xf numFmtId="43" fontId="1"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xf numFmtId="0" fontId="6" fillId="3" borderId="0" applyNumberFormat="0" applyBorder="0" applyAlignment="0" applyProtection="0"/>
    <xf numFmtId="0" fontId="7" fillId="0" borderId="0"/>
    <xf numFmtId="0" fontId="2" fillId="0" borderId="0"/>
    <xf numFmtId="0" fontId="1" fillId="0" borderId="0"/>
    <xf numFmtId="0" fontId="7" fillId="0" borderId="0"/>
    <xf numFmtId="0" fontId="7" fillId="0" borderId="0"/>
    <xf numFmtId="0" fontId="8" fillId="4" borderId="9" applyNumberFormat="0" applyAlignment="0" applyProtection="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 fillId="0" borderId="10" applyNumberFormat="0" applyFill="0" applyAlignment="0" applyProtection="0"/>
    <xf numFmtId="9" fontId="1" fillId="0" borderId="0" applyFont="0" applyFill="0" applyBorder="0" applyAlignment="0" applyProtection="0"/>
  </cellStyleXfs>
  <cellXfs count="117">
    <xf numFmtId="0" fontId="0" fillId="0" borderId="0" xfId="0"/>
    <xf numFmtId="0" fontId="11" fillId="0" borderId="0" xfId="14" applyFont="1" applyFill="1"/>
    <xf numFmtId="0" fontId="11"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0" xfId="0" applyFont="1" applyFill="1" applyAlignment="1">
      <alignment horizontal="left" vertical="center"/>
    </xf>
    <xf numFmtId="0" fontId="11" fillId="0" borderId="0" xfId="0" applyFont="1" applyFill="1"/>
    <xf numFmtId="0" fontId="13" fillId="0" borderId="1" xfId="0" applyFont="1" applyFill="1" applyBorder="1" applyAlignment="1">
      <alignment horizontal="center" vertical="center" wrapText="1"/>
    </xf>
    <xf numFmtId="0" fontId="11" fillId="0" borderId="0" xfId="0" applyFont="1" applyFill="1" applyAlignment="1">
      <alignment horizontal="left" vertical="center" readingOrder="1"/>
    </xf>
    <xf numFmtId="0" fontId="11" fillId="0" borderId="0" xfId="0" applyFont="1" applyFill="1" applyAlignment="1">
      <alignment horizontal="center" vertical="center" wrapText="1"/>
    </xf>
    <xf numFmtId="0" fontId="11" fillId="0" borderId="0" xfId="0" applyFont="1" applyFill="1" applyAlignment="1">
      <alignment horizontal="justify" vertical="center" wrapText="1"/>
    </xf>
    <xf numFmtId="0" fontId="11" fillId="0" borderId="0" xfId="0" applyFont="1" applyFill="1" applyAlignment="1">
      <alignment horizontal="right" vertical="center"/>
    </xf>
    <xf numFmtId="0" fontId="11" fillId="0" borderId="0" xfId="0" applyFont="1" applyFill="1" applyAlignment="1">
      <alignment horizontal="left" vertical="center" wrapText="1"/>
    </xf>
    <xf numFmtId="0" fontId="11" fillId="0" borderId="0" xfId="0" applyFont="1" applyFill="1" applyAlignment="1">
      <alignment horizontal="justify" vertical="center"/>
    </xf>
    <xf numFmtId="0" fontId="16" fillId="0" borderId="0" xfId="0" applyFont="1" applyFill="1" applyAlignment="1">
      <alignment horizontal="justify" vertical="center"/>
    </xf>
    <xf numFmtId="0" fontId="12" fillId="0" borderId="0" xfId="0" applyFont="1" applyFill="1" applyAlignment="1">
      <alignment horizontal="right" vertical="center"/>
    </xf>
    <xf numFmtId="0" fontId="11" fillId="0" borderId="0" xfId="13" applyFont="1" applyFill="1"/>
    <xf numFmtId="0" fontId="11" fillId="0" borderId="0" xfId="0" applyFont="1" applyFill="1" applyAlignment="1">
      <alignment horizontal="right"/>
    </xf>
    <xf numFmtId="0" fontId="11" fillId="0" borderId="0" xfId="0" applyFont="1" applyFill="1" applyAlignment="1">
      <alignment vertical="center" wrapText="1"/>
    </xf>
    <xf numFmtId="0" fontId="15" fillId="0" borderId="0" xfId="0" applyFont="1" applyFill="1" applyAlignment="1">
      <alignment horizontal="justify" vertical="center"/>
    </xf>
    <xf numFmtId="0" fontId="11" fillId="0" borderId="0" xfId="0" applyFont="1" applyFill="1" applyAlignment="1">
      <alignment horizontal="left" vertical="center"/>
    </xf>
    <xf numFmtId="0" fontId="11" fillId="0" borderId="0" xfId="0" applyFont="1" applyFill="1" applyAlignment="1">
      <alignment horizontal="left"/>
    </xf>
    <xf numFmtId="0" fontId="10" fillId="0" borderId="0" xfId="0" applyFont="1" applyFill="1"/>
    <xf numFmtId="0" fontId="16" fillId="0" borderId="0" xfId="0" applyFont="1" applyFill="1" applyAlignment="1">
      <alignment horizontal="center" vertical="center" wrapText="1"/>
    </xf>
    <xf numFmtId="0" fontId="16" fillId="0" borderId="0" xfId="0" applyFont="1" applyFill="1" applyAlignment="1">
      <alignment vertical="center" wrapText="1"/>
    </xf>
    <xf numFmtId="0" fontId="13" fillId="0" borderId="0" xfId="0" applyFont="1" applyFill="1" applyAlignment="1">
      <alignment horizontal="left" vertical="center" wrapText="1"/>
    </xf>
    <xf numFmtId="0" fontId="10" fillId="0" borderId="0" xfId="0" applyFont="1" applyFill="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Alignment="1">
      <alignment horizontal="center"/>
    </xf>
    <xf numFmtId="0" fontId="16" fillId="0" borderId="0" xfId="0" applyFont="1" applyFill="1" applyAlignment="1">
      <alignment horizontal="center"/>
    </xf>
    <xf numFmtId="165" fontId="11" fillId="0" borderId="0" xfId="23" applyNumberFormat="1" applyFont="1" applyFill="1" applyAlignment="1">
      <alignment horizontal="center" vertical="center" wrapText="1"/>
    </xf>
    <xf numFmtId="165" fontId="11" fillId="0" borderId="0" xfId="0" applyNumberFormat="1" applyFont="1" applyFill="1" applyAlignment="1">
      <alignment horizontal="center" vertical="center" wrapText="1"/>
    </xf>
    <xf numFmtId="165" fontId="11" fillId="0" borderId="0" xfId="0" applyNumberFormat="1" applyFont="1" applyFill="1" applyAlignment="1">
      <alignment horizontal="center" vertical="center"/>
    </xf>
    <xf numFmtId="168" fontId="10" fillId="0" borderId="0" xfId="0" applyNumberFormat="1" applyFont="1" applyFill="1" applyAlignment="1">
      <alignment horizontal="center" vertical="center"/>
    </xf>
    <xf numFmtId="167" fontId="11" fillId="0" borderId="0" xfId="23" applyNumberFormat="1" applyFont="1" applyFill="1" applyAlignment="1">
      <alignment horizontal="center" vertical="center" wrapText="1"/>
    </xf>
    <xf numFmtId="1" fontId="11" fillId="0" borderId="0" xfId="0" applyNumberFormat="1" applyFont="1" applyFill="1" applyAlignment="1">
      <alignment horizontal="center" vertical="center" wrapText="1"/>
    </xf>
    <xf numFmtId="1" fontId="11" fillId="0" borderId="0" xfId="0" applyNumberFormat="1" applyFont="1" applyFill="1" applyAlignment="1">
      <alignment horizontal="center" vertical="center"/>
    </xf>
    <xf numFmtId="167" fontId="11" fillId="0" borderId="0" xfId="0" applyNumberFormat="1" applyFont="1" applyFill="1" applyAlignment="1">
      <alignment horizontal="center" vertical="center" wrapText="1"/>
    </xf>
    <xf numFmtId="2" fontId="11" fillId="0" borderId="0" xfId="0" applyNumberFormat="1" applyFont="1" applyFill="1" applyAlignment="1">
      <alignment horizontal="center" vertical="center" wrapText="1"/>
    </xf>
    <xf numFmtId="166" fontId="11" fillId="0" borderId="0" xfId="0" applyNumberFormat="1" applyFont="1" applyFill="1" applyAlignment="1">
      <alignment horizontal="center" vertical="center" wrapText="1"/>
    </xf>
    <xf numFmtId="166" fontId="11" fillId="0" borderId="0" xfId="0" applyNumberFormat="1" applyFont="1" applyFill="1" applyAlignment="1">
      <alignment horizontal="center" vertical="center"/>
    </xf>
    <xf numFmtId="2" fontId="11" fillId="0" borderId="0" xfId="23" applyNumberFormat="1" applyFont="1" applyFill="1" applyAlignment="1">
      <alignment horizontal="center" vertical="center" wrapText="1"/>
    </xf>
    <xf numFmtId="2" fontId="11" fillId="0" borderId="0" xfId="0" applyNumberFormat="1" applyFont="1" applyFill="1" applyAlignment="1">
      <alignment horizontal="center" vertical="center"/>
    </xf>
    <xf numFmtId="0" fontId="10" fillId="0" borderId="0" xfId="0" applyFont="1" applyFill="1" applyAlignment="1">
      <alignment horizontal="center" vertical="center"/>
    </xf>
    <xf numFmtId="0" fontId="17" fillId="0" borderId="0" xfId="0" applyFont="1" applyFill="1" applyAlignment="1">
      <alignment horizontal="center" vertical="center" wrapText="1"/>
    </xf>
    <xf numFmtId="0" fontId="11" fillId="0" borderId="0" xfId="0" applyFont="1" applyFill="1" applyAlignment="1">
      <alignment horizontal="left" vertical="top"/>
    </xf>
    <xf numFmtId="0" fontId="10" fillId="0" borderId="0" xfId="0" applyFont="1" applyFill="1" applyAlignment="1">
      <alignment horizontal="left" vertical="top"/>
    </xf>
    <xf numFmtId="0" fontId="10" fillId="0" borderId="0" xfId="0" applyFont="1" applyFill="1" applyBorder="1" applyAlignment="1">
      <alignment horizontal="center" vertical="center"/>
    </xf>
    <xf numFmtId="0" fontId="13" fillId="0" borderId="0" xfId="0" applyFont="1" applyFill="1" applyBorder="1" applyAlignment="1">
      <alignment vertical="top" wrapText="1"/>
    </xf>
    <xf numFmtId="0" fontId="11" fillId="0" borderId="1" xfId="0" applyFont="1" applyFill="1" applyBorder="1" applyAlignment="1">
      <alignment horizontal="center" vertical="center"/>
    </xf>
    <xf numFmtId="0" fontId="13" fillId="0" borderId="1" xfId="0" applyFont="1" applyFill="1" applyBorder="1" applyAlignment="1">
      <alignment horizontal="center" vertical="center"/>
    </xf>
    <xf numFmtId="166" fontId="11" fillId="0" borderId="1" xfId="0" applyNumberFormat="1" applyFont="1" applyFill="1" applyBorder="1" applyAlignment="1">
      <alignment horizontal="center" vertical="center"/>
    </xf>
    <xf numFmtId="166" fontId="11" fillId="0" borderId="1" xfId="23" applyNumberFormat="1" applyFont="1" applyFill="1" applyBorder="1" applyAlignment="1">
      <alignment horizontal="center" vertical="center"/>
    </xf>
    <xf numFmtId="0" fontId="11" fillId="0" borderId="1" xfId="0" applyFont="1" applyFill="1" applyBorder="1" applyAlignment="1">
      <alignment horizontal="left" vertical="center"/>
    </xf>
    <xf numFmtId="0" fontId="10" fillId="0" borderId="0" xfId="0" applyFont="1" applyFill="1" applyAlignment="1">
      <alignment vertical="center"/>
    </xf>
    <xf numFmtId="0" fontId="10" fillId="0" borderId="0" xfId="0" applyFont="1" applyFill="1" applyBorder="1" applyAlignment="1">
      <alignment vertical="center" wrapText="1"/>
    </xf>
    <xf numFmtId="0" fontId="10" fillId="0" borderId="0" xfId="0" applyFont="1" applyFill="1" applyAlignment="1">
      <alignment vertical="center" wrapText="1"/>
    </xf>
    <xf numFmtId="0" fontId="18"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13"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7" xfId="0" applyFont="1" applyFill="1" applyBorder="1" applyAlignment="1">
      <alignment vertical="center" wrapText="1"/>
    </xf>
    <xf numFmtId="2" fontId="17" fillId="0" borderId="1" xfId="0" applyNumberFormat="1" applyFont="1" applyFill="1" applyBorder="1" applyAlignment="1">
      <alignment horizontal="center" vertical="center" wrapText="1"/>
    </xf>
    <xf numFmtId="166"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1" fillId="0" borderId="0" xfId="0" applyFont="1" applyFill="1" applyAlignment="1">
      <alignment horizontal="justify"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13" fillId="0" borderId="0" xfId="0" applyFont="1" applyFill="1" applyBorder="1" applyAlignment="1">
      <alignment horizontal="justify" vertical="center" wrapText="1"/>
    </xf>
    <xf numFmtId="0" fontId="13" fillId="0" borderId="0" xfId="0" applyFont="1" applyFill="1" applyAlignment="1">
      <alignment horizontal="justify" vertical="center" wrapText="1"/>
    </xf>
    <xf numFmtId="0" fontId="11" fillId="0" borderId="0" xfId="0" applyFont="1" applyFill="1" applyBorder="1" applyAlignment="1">
      <alignment horizontal="justify" vertical="center" wrapText="1"/>
    </xf>
    <xf numFmtId="0" fontId="19" fillId="0" borderId="2"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1" fillId="0" borderId="14" xfId="0" applyFont="1" applyFill="1" applyBorder="1" applyAlignment="1">
      <alignment horizontal="center" vertical="center" wrapText="1"/>
    </xf>
    <xf numFmtId="165" fontId="11" fillId="0" borderId="0" xfId="0" applyNumberFormat="1" applyFont="1" applyFill="1" applyAlignment="1">
      <alignment horizontal="center" vertical="center" wrapText="1"/>
    </xf>
    <xf numFmtId="0" fontId="16" fillId="0" borderId="0" xfId="0" applyFont="1" applyFill="1" applyAlignment="1">
      <alignment horizontal="center" vertical="center" wrapText="1"/>
    </xf>
    <xf numFmtId="0" fontId="11" fillId="0" borderId="0" xfId="0" applyFont="1" applyFill="1" applyAlignment="1">
      <alignment horizontal="left" vertical="top" wrapText="1"/>
    </xf>
    <xf numFmtId="0" fontId="13"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3" xfId="0" applyFont="1" applyFill="1" applyBorder="1" applyAlignment="1">
      <alignment horizontal="center" vertical="center" wrapText="1"/>
    </xf>
    <xf numFmtId="0" fontId="18" fillId="0" borderId="19" xfId="0" applyFont="1" applyFill="1" applyBorder="1" applyAlignment="1">
      <alignment horizontal="left" vertical="center" wrapText="1"/>
    </xf>
    <xf numFmtId="0" fontId="18" fillId="0" borderId="20"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7" fillId="0" borderId="23" xfId="0" applyFont="1" applyFill="1" applyBorder="1" applyAlignment="1">
      <alignment horizontal="center" vertical="center" wrapText="1"/>
    </xf>
    <xf numFmtId="0" fontId="20" fillId="0" borderId="22" xfId="0" applyFont="1" applyFill="1" applyBorder="1" applyAlignment="1">
      <alignment horizontal="left" vertical="center" wrapText="1"/>
    </xf>
    <xf numFmtId="0" fontId="19" fillId="0" borderId="24" xfId="0" applyFont="1" applyFill="1" applyBorder="1" applyAlignment="1">
      <alignment vertical="center" wrapText="1"/>
    </xf>
    <xf numFmtId="0" fontId="18" fillId="0" borderId="23"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17"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cellXfs>
  <cellStyles count="24">
    <cellStyle name="Comma 2" xfId="1" xr:uid="{00000000-0005-0000-0000-000000000000}"/>
    <cellStyle name="Comma 3" xfId="2" xr:uid="{00000000-0005-0000-0000-000001000000}"/>
    <cellStyle name="Comma0 - Type3" xfId="3" xr:uid="{00000000-0005-0000-0000-000002000000}"/>
    <cellStyle name="Fixed2 - Type2" xfId="4" xr:uid="{00000000-0005-0000-0000-000003000000}"/>
    <cellStyle name="Hyperlink 2" xfId="5" xr:uid="{00000000-0005-0000-0000-000004000000}"/>
    <cellStyle name="Hyperlink 3" xfId="6" xr:uid="{00000000-0005-0000-0000-000005000000}"/>
    <cellStyle name="Input 2" xfId="7" xr:uid="{00000000-0005-0000-0000-000006000000}"/>
    <cellStyle name="Komma 2" xfId="8" xr:uid="{00000000-0005-0000-0000-000007000000}"/>
    <cellStyle name="Komma 3" xfId="9" xr:uid="{00000000-0005-0000-0000-000008000000}"/>
    <cellStyle name="Link 2" xfId="10" xr:uid="{00000000-0005-0000-0000-000009000000}"/>
    <cellStyle name="Neutral 2" xfId="11" xr:uid="{00000000-0005-0000-0000-00000A000000}"/>
    <cellStyle name="Normal" xfId="0" builtinId="0"/>
    <cellStyle name="Normal 10" xfId="12" xr:uid="{00000000-0005-0000-0000-00000C000000}"/>
    <cellStyle name="Normal 2" xfId="13" xr:uid="{00000000-0005-0000-0000-00000D000000}"/>
    <cellStyle name="Normal 3" xfId="14" xr:uid="{00000000-0005-0000-0000-00000E000000}"/>
    <cellStyle name="Normal 6" xfId="15" xr:uid="{00000000-0005-0000-0000-00000F000000}"/>
    <cellStyle name="Normal 6 2" xfId="16" xr:uid="{00000000-0005-0000-0000-000010000000}"/>
    <cellStyle name="Output 2" xfId="17" xr:uid="{00000000-0005-0000-0000-000011000000}"/>
    <cellStyle name="Percen - Type1" xfId="18" xr:uid="{00000000-0005-0000-0000-000012000000}"/>
    <cellStyle name="Percent 2" xfId="19" xr:uid="{00000000-0005-0000-0000-000013000000}"/>
    <cellStyle name="Porcentaje" xfId="23" builtinId="5"/>
    <cellStyle name="Procent 2" xfId="20" xr:uid="{00000000-0005-0000-0000-000015000000}"/>
    <cellStyle name="Procent 3" xfId="21" xr:uid="{00000000-0005-0000-0000-000016000000}"/>
    <cellStyle name="Total 2" xfId="22" xr:uid="{00000000-0005-0000-0000-000017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externalLink" Target="externalLinks/externalLink3.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0929449461200214E-2"/>
                  <c:y val="0.67006916284343854"/>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Uncertanties!$Q$2:$Q$3</c:f>
            </c:numRef>
          </c:xVal>
          <c:yVal>
            <c:numRef>
              <c:f>Uncertanties!$R$2:$R$3</c:f>
            </c:numRef>
          </c:yVal>
          <c:smooth val="1"/>
          <c:extLst>
            <c:ext xmlns:c16="http://schemas.microsoft.com/office/drawing/2014/chart" uri="{C3380CC4-5D6E-409C-BE32-E72D297353CC}">
              <c16:uniqueId val="{00000000-BF18-4A8F-A927-CEB5AD3BD6C3}"/>
            </c:ext>
          </c:extLst>
        </c:ser>
        <c:dLbls>
          <c:showLegendKey val="0"/>
          <c:showVal val="0"/>
          <c:showCatName val="0"/>
          <c:showSerName val="0"/>
          <c:showPercent val="0"/>
          <c:showBubbleSize val="0"/>
        </c:dLbls>
        <c:axId val="90628480"/>
        <c:axId val="90631552"/>
      </c:scatterChart>
      <c:valAx>
        <c:axId val="906284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631552"/>
        <c:crosses val="autoZero"/>
        <c:crossBetween val="midCat"/>
      </c:valAx>
      <c:valAx>
        <c:axId val="9063155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6284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7307849623821162E-2"/>
                  <c:y val="0.49004057358213371"/>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Uncertanties!$Q$2:$Q$3</c:f>
            </c:numRef>
          </c:xVal>
          <c:yVal>
            <c:numRef>
              <c:f>Uncertanties!$S$2:$S$3</c:f>
            </c:numRef>
          </c:yVal>
          <c:smooth val="1"/>
          <c:extLst>
            <c:ext xmlns:c16="http://schemas.microsoft.com/office/drawing/2014/chart" uri="{C3380CC4-5D6E-409C-BE32-E72D297353CC}">
              <c16:uniqueId val="{00000000-651F-4D02-983C-8DA156D22100}"/>
            </c:ext>
          </c:extLst>
        </c:ser>
        <c:dLbls>
          <c:showLegendKey val="0"/>
          <c:showVal val="0"/>
          <c:showCatName val="0"/>
          <c:showSerName val="0"/>
          <c:showPercent val="0"/>
          <c:showBubbleSize val="0"/>
        </c:dLbls>
        <c:axId val="129139840"/>
        <c:axId val="129141376"/>
      </c:scatterChart>
      <c:valAx>
        <c:axId val="129139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9141376"/>
        <c:crosses val="autoZero"/>
        <c:crossBetween val="midCat"/>
      </c:valAx>
      <c:valAx>
        <c:axId val="12914137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913984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6384507035144966E-2"/>
                  <c:y val="0.62987372116370499"/>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Uncertanties!$T$3:$T$4</c:f>
            </c:numRef>
          </c:xVal>
          <c:yVal>
            <c:numRef>
              <c:f>Uncertanties!$U$3:$U$4</c:f>
            </c:numRef>
          </c:yVal>
          <c:smooth val="1"/>
          <c:extLst>
            <c:ext xmlns:c16="http://schemas.microsoft.com/office/drawing/2014/chart" uri="{C3380CC4-5D6E-409C-BE32-E72D297353CC}">
              <c16:uniqueId val="{00000000-F47B-480A-A71F-7FDA57553018}"/>
            </c:ext>
          </c:extLst>
        </c:ser>
        <c:dLbls>
          <c:showLegendKey val="0"/>
          <c:showVal val="0"/>
          <c:showCatName val="0"/>
          <c:showSerName val="0"/>
          <c:showPercent val="0"/>
          <c:showBubbleSize val="0"/>
        </c:dLbls>
        <c:axId val="130795776"/>
        <c:axId val="130845696"/>
      </c:scatterChart>
      <c:valAx>
        <c:axId val="1307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845696"/>
        <c:crosses val="autoZero"/>
        <c:crossBetween val="midCat"/>
      </c:valAx>
      <c:valAx>
        <c:axId val="13084569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7957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4.6397734475931651E-2"/>
                  <c:y val="0.57396356522931058"/>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Uncertanties!$T$3:$T$4</c:f>
            </c:numRef>
          </c:xVal>
          <c:yVal>
            <c:numRef>
              <c:f>Uncertanties!$V$3:$V$4</c:f>
            </c:numRef>
          </c:yVal>
          <c:smooth val="1"/>
          <c:extLst>
            <c:ext xmlns:c16="http://schemas.microsoft.com/office/drawing/2014/chart" uri="{C3380CC4-5D6E-409C-BE32-E72D297353CC}">
              <c16:uniqueId val="{00000000-C04B-4B14-B56A-3EF4DBF7B3D5}"/>
            </c:ext>
          </c:extLst>
        </c:ser>
        <c:dLbls>
          <c:showLegendKey val="0"/>
          <c:showVal val="0"/>
          <c:showCatName val="0"/>
          <c:showSerName val="0"/>
          <c:showPercent val="0"/>
          <c:showBubbleSize val="0"/>
        </c:dLbls>
        <c:axId val="132320256"/>
        <c:axId val="132352640"/>
      </c:scatterChart>
      <c:valAx>
        <c:axId val="132320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2352640"/>
        <c:crosses val="autoZero"/>
        <c:crossBetween val="midCat"/>
      </c:valAx>
      <c:valAx>
        <c:axId val="13235264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232025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6207330416166127"/>
                  <c:y val="-5.6756940432347171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Uncertanties!$W$4:$W$5</c:f>
            </c:numRef>
          </c:xVal>
          <c:yVal>
            <c:numRef>
              <c:f>Uncertanties!$X$4:$X$5</c:f>
            </c:numRef>
          </c:yVal>
          <c:smooth val="1"/>
          <c:extLst>
            <c:ext xmlns:c16="http://schemas.microsoft.com/office/drawing/2014/chart" uri="{C3380CC4-5D6E-409C-BE32-E72D297353CC}">
              <c16:uniqueId val="{00000000-5D95-443C-B1D2-6BED9B010AD5}"/>
            </c:ext>
          </c:extLst>
        </c:ser>
        <c:dLbls>
          <c:showLegendKey val="0"/>
          <c:showVal val="0"/>
          <c:showCatName val="0"/>
          <c:showSerName val="0"/>
          <c:showPercent val="0"/>
          <c:showBubbleSize val="0"/>
        </c:dLbls>
        <c:axId val="143860096"/>
        <c:axId val="143862016"/>
      </c:scatterChart>
      <c:valAx>
        <c:axId val="143860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862016"/>
        <c:crosses val="autoZero"/>
        <c:crossBetween val="midCat"/>
      </c:valAx>
      <c:valAx>
        <c:axId val="143862016"/>
        <c:scaling>
          <c:orientation val="minMax"/>
          <c:max val="-0.150000000000000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8600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6842243278601279"/>
                  <c:y val="-1.6446806021351935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Uncertanties!$W$4:$W$5</c:f>
            </c:numRef>
          </c:xVal>
          <c:yVal>
            <c:numRef>
              <c:f>Uncertanties!$Y$4:$Y$5</c:f>
            </c:numRef>
          </c:yVal>
          <c:smooth val="1"/>
          <c:extLst>
            <c:ext xmlns:c16="http://schemas.microsoft.com/office/drawing/2014/chart" uri="{C3380CC4-5D6E-409C-BE32-E72D297353CC}">
              <c16:uniqueId val="{00000000-F51A-4264-8230-BAA160561245}"/>
            </c:ext>
          </c:extLst>
        </c:ser>
        <c:dLbls>
          <c:showLegendKey val="0"/>
          <c:showVal val="0"/>
          <c:showCatName val="0"/>
          <c:showSerName val="0"/>
          <c:showPercent val="0"/>
          <c:showBubbleSize val="0"/>
        </c:dLbls>
        <c:axId val="105476096"/>
        <c:axId val="105477632"/>
      </c:scatterChart>
      <c:valAx>
        <c:axId val="105476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5477632"/>
        <c:crosses val="autoZero"/>
        <c:crossBetween val="midCat"/>
      </c:valAx>
      <c:valAx>
        <c:axId val="105477632"/>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54760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0.1183748639872116"/>
                  <c:y val="-3.2429906603607693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(Data!$C$2,Data!$D$2,Data!$E$2,Data!$F$2)</c:f>
              <c:numCache>
                <c:formatCode>General</c:formatCode>
                <c:ptCount val="4"/>
                <c:pt idx="0">
                  <c:v>2016</c:v>
                </c:pt>
                <c:pt idx="1">
                  <c:v>2020</c:v>
                </c:pt>
                <c:pt idx="2">
                  <c:v>2025</c:v>
                </c:pt>
                <c:pt idx="3">
                  <c:v>2030</c:v>
                </c:pt>
              </c:numCache>
            </c:numRef>
          </c:xVal>
          <c:yVal>
            <c:numRef>
              <c:f>(Data!$C$17,Data!$D$17,Data!$E$17,Data!$F$17)</c:f>
              <c:numCache>
                <c:formatCode>General</c:formatCode>
                <c:ptCount val="4"/>
                <c:pt idx="0">
                  <c:v>0.36749999999999999</c:v>
                </c:pt>
                <c:pt idx="1">
                  <c:v>0.2908</c:v>
                </c:pt>
                <c:pt idx="2">
                  <c:v>0.217</c:v>
                </c:pt>
                <c:pt idx="3">
                  <c:v>0.16200000000000001</c:v>
                </c:pt>
              </c:numCache>
            </c:numRef>
          </c:yVal>
          <c:smooth val="1"/>
          <c:extLst>
            <c:ext xmlns:c16="http://schemas.microsoft.com/office/drawing/2014/chart" uri="{C3380CC4-5D6E-409C-BE32-E72D297353CC}">
              <c16:uniqueId val="{00000000-0658-41FB-A68F-5045E6066045}"/>
            </c:ext>
          </c:extLst>
        </c:ser>
        <c:dLbls>
          <c:showLegendKey val="0"/>
          <c:showVal val="0"/>
          <c:showCatName val="0"/>
          <c:showSerName val="0"/>
          <c:showPercent val="0"/>
          <c:showBubbleSize val="0"/>
        </c:dLbls>
        <c:axId val="105495552"/>
        <c:axId val="105505536"/>
      </c:scatterChart>
      <c:valAx>
        <c:axId val="105495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5505536"/>
        <c:crosses val="autoZero"/>
        <c:crossBetween val="midCat"/>
      </c:valAx>
      <c:valAx>
        <c:axId val="105505536"/>
        <c:scaling>
          <c:orientation val="minMax"/>
          <c:min val="0.1500000000000000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549555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4.5996006097846195E-2"/>
                  <c:y val="2.8450466850241083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(Data!$C$2,Data!$D$2,Data!$E$2,Data!$F$2)</c:f>
              <c:numCache>
                <c:formatCode>General</c:formatCode>
                <c:ptCount val="4"/>
                <c:pt idx="0">
                  <c:v>2016</c:v>
                </c:pt>
                <c:pt idx="1">
                  <c:v>2020</c:v>
                </c:pt>
                <c:pt idx="2">
                  <c:v>2025</c:v>
                </c:pt>
                <c:pt idx="3">
                  <c:v>2030</c:v>
                </c:pt>
              </c:numCache>
            </c:numRef>
          </c:xVal>
          <c:yVal>
            <c:numRef>
              <c:f>(Data!$C$18,Data!$D$18,Data!$E$18,Data!$F$18)</c:f>
              <c:numCache>
                <c:formatCode>0.000</c:formatCode>
                <c:ptCount val="4"/>
                <c:pt idx="0" formatCode="General">
                  <c:v>0.105</c:v>
                </c:pt>
                <c:pt idx="1">
                  <c:v>8.5000000000000006E-2</c:v>
                </c:pt>
                <c:pt idx="2" formatCode="General">
                  <c:v>6.5600000000000006E-2</c:v>
                </c:pt>
                <c:pt idx="3">
                  <c:v>5.0500000000000003E-2</c:v>
                </c:pt>
              </c:numCache>
            </c:numRef>
          </c:yVal>
          <c:smooth val="1"/>
          <c:extLst>
            <c:ext xmlns:c16="http://schemas.microsoft.com/office/drawing/2014/chart" uri="{C3380CC4-5D6E-409C-BE32-E72D297353CC}">
              <c16:uniqueId val="{00000000-9173-4B3E-96CE-8579E83732D9}"/>
            </c:ext>
          </c:extLst>
        </c:ser>
        <c:dLbls>
          <c:showLegendKey val="0"/>
          <c:showVal val="0"/>
          <c:showCatName val="0"/>
          <c:showSerName val="0"/>
          <c:showPercent val="0"/>
          <c:showBubbleSize val="0"/>
        </c:dLbls>
        <c:axId val="108161280"/>
        <c:axId val="108163072"/>
      </c:scatterChart>
      <c:valAx>
        <c:axId val="108161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163072"/>
        <c:crosses val="autoZero"/>
        <c:crossBetween val="midCat"/>
      </c:valAx>
      <c:valAx>
        <c:axId val="108163072"/>
        <c:scaling>
          <c:orientation val="minMax"/>
          <c:min val="4.0000000000000008E-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1612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6074448220389483E-2"/>
                  <c:y val="0.64485321716402233"/>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Uncertanties!$Q$5:$Q$6</c:f>
            </c:numRef>
          </c:xVal>
          <c:yVal>
            <c:numRef>
              <c:f>Uncertanties!$R$5:$R$6</c:f>
            </c:numRef>
          </c:yVal>
          <c:smooth val="1"/>
          <c:extLst>
            <c:ext xmlns:c16="http://schemas.microsoft.com/office/drawing/2014/chart" uri="{C3380CC4-5D6E-409C-BE32-E72D297353CC}">
              <c16:uniqueId val="{00000000-C231-4FA5-A90A-E7B071EDF8F4}"/>
            </c:ext>
          </c:extLst>
        </c:ser>
        <c:dLbls>
          <c:showLegendKey val="0"/>
          <c:showVal val="0"/>
          <c:showCatName val="0"/>
          <c:showSerName val="0"/>
          <c:showPercent val="0"/>
          <c:showBubbleSize val="0"/>
        </c:dLbls>
        <c:axId val="108180992"/>
        <c:axId val="108182528"/>
      </c:scatterChart>
      <c:valAx>
        <c:axId val="108180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182528"/>
        <c:crosses val="autoZero"/>
        <c:crossBetween val="midCat"/>
      </c:valAx>
      <c:valAx>
        <c:axId val="10818252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1809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2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2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21"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95"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21"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21"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121"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16</xdr:col>
      <xdr:colOff>647700</xdr:colOff>
      <xdr:row>1</xdr:row>
      <xdr:rowOff>171450</xdr:rowOff>
    </xdr:from>
    <xdr:to>
      <xdr:col>25</xdr:col>
      <xdr:colOff>389700</xdr:colOff>
      <xdr:row>11</xdr:row>
      <xdr:rowOff>761424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354300" y="933450"/>
          <a:ext cx="6600000" cy="46095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8666963" cy="6297521"/>
    <xdr:graphicFrame macro="">
      <xdr:nvGraphicFramePr>
        <xdr:cNvPr id="2" name="Gráfico 1">
          <a:extLst>
            <a:ext uri="{FF2B5EF4-FFF2-40B4-BE49-F238E27FC236}">
              <a16:creationId xmlns:a16="http://schemas.microsoft.com/office/drawing/2014/main" id="{632307D9-21DE-447B-B38B-F9F65F33708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12459" cy="6077107"/>
    <xdr:graphicFrame macro="">
      <xdr:nvGraphicFramePr>
        <xdr:cNvPr id="2" name="Gráfico 1">
          <a:extLst>
            <a:ext uri="{FF2B5EF4-FFF2-40B4-BE49-F238E27FC236}">
              <a16:creationId xmlns:a16="http://schemas.microsoft.com/office/drawing/2014/main" id="{E690C729-CB2C-42A8-BE5B-E7F0883A1E2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12459" cy="6077107"/>
    <xdr:graphicFrame macro="">
      <xdr:nvGraphicFramePr>
        <xdr:cNvPr id="2" name="Gráfico 1">
          <a:extLst>
            <a:ext uri="{FF2B5EF4-FFF2-40B4-BE49-F238E27FC236}">
              <a16:creationId xmlns:a16="http://schemas.microsoft.com/office/drawing/2014/main" id="{749760AA-C764-4750-87A2-008EB214D48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2459" cy="6077107"/>
    <xdr:graphicFrame macro="">
      <xdr:nvGraphicFramePr>
        <xdr:cNvPr id="2" name="Gráfico 1">
          <a:extLst>
            <a:ext uri="{FF2B5EF4-FFF2-40B4-BE49-F238E27FC236}">
              <a16:creationId xmlns:a16="http://schemas.microsoft.com/office/drawing/2014/main" id="{038474CD-27B9-43EE-B0FC-853FB8EED51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12459" cy="6077107"/>
    <xdr:graphicFrame macro="">
      <xdr:nvGraphicFramePr>
        <xdr:cNvPr id="2" name="Gráfico 1">
          <a:extLst>
            <a:ext uri="{FF2B5EF4-FFF2-40B4-BE49-F238E27FC236}">
              <a16:creationId xmlns:a16="http://schemas.microsoft.com/office/drawing/2014/main" id="{707E3779-AE1C-4440-AB60-7A72E889CC4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4395" cy="6075947"/>
    <xdr:graphicFrame macro="">
      <xdr:nvGraphicFramePr>
        <xdr:cNvPr id="2" name="Gráfico 1">
          <a:extLst>
            <a:ext uri="{FF2B5EF4-FFF2-40B4-BE49-F238E27FC236}">
              <a16:creationId xmlns:a16="http://schemas.microsoft.com/office/drawing/2014/main" id="{C2C9E0A0-B53C-4FDA-A6B7-10AB821CA64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12459" cy="6077107"/>
    <xdr:graphicFrame macro="">
      <xdr:nvGraphicFramePr>
        <xdr:cNvPr id="2" name="Gráfico 1">
          <a:extLst>
            <a:ext uri="{FF2B5EF4-FFF2-40B4-BE49-F238E27FC236}">
              <a16:creationId xmlns:a16="http://schemas.microsoft.com/office/drawing/2014/main" id="{166926FE-55F0-4091-915B-25F3E32E463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2DD5C20F-7464-41A9-9CBC-DF537E7EB30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BDF34F30-2F0D-4E79-BC4E-F07C62267B0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03-PROY%20ALM%20ENE\DS%20REF\MX%20TC%20Data%20Sheets%20Draft1_Ver_191127a%20SPI%20(Autoguar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Desktop/COOP%20DANESA/Catalogue/MX%20TC%20Data%20Sheets%20-%20final%20draft_revi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S"/>
      <sheetName val="Li-Ion Battery"/>
      <sheetName val="Lead acid battery"/>
      <sheetName val="Na-S Battery"/>
      <sheetName val="VR Flow Battery"/>
      <sheetName val="CAES"/>
      <sheetName val="Molten Salt"/>
      <sheetName val="Supercapacitors"/>
      <sheetName val="Flywheels"/>
    </sheetNames>
    <sheetDataSet>
      <sheetData sheetId="0" refreshError="1"/>
      <sheetData sheetId="1"/>
      <sheetData sheetId="2"/>
      <sheetData sheetId="3"/>
      <sheetData sheetId="4" refreshError="1"/>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 Pump Hydro Storage"/>
      <sheetName val="PHS - Datos revisión"/>
      <sheetName val="03 Lithium Ion Battery"/>
      <sheetName val="04 Lead-Acid Battery"/>
      <sheetName val="Lead Acid - Datos revisión."/>
      <sheetName val="05 Na-S Battery"/>
      <sheetName val="Na-S - Datos revision"/>
      <sheetName val="06 Vanadium Redox Flow Battery"/>
      <sheetName val="07 Molten Salt Storage 2f"/>
      <sheetName val="Molten Salt -Datos revisión "/>
      <sheetName val="08 CAES"/>
      <sheetName val="09 Supercapacitors"/>
      <sheetName val="Supercapacit - Datos recientes"/>
      <sheetName val="10 Flywheels"/>
      <sheetName val="Flywheels - Datos recientes"/>
      <sheetName val="VR Flow - Datos revision"/>
      <sheetName val="CAES -Datos rec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rena.org/-/media/Files/IRENA/Agency/Events/2017/Mar/15/2017_Kairies_Battery_Cost_and_Performance_0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irena.org/-/media/Files/IRENA/Agency/Events/2017/Mar/15/2017_Kairies_Battery_Cost_and_Performance_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B1:X94"/>
  <sheetViews>
    <sheetView showGridLines="0" tabSelected="1" zoomScale="80" zoomScaleNormal="80" workbookViewId="0">
      <selection activeCell="B2" sqref="B2:K34"/>
    </sheetView>
  </sheetViews>
  <sheetFormatPr baseColWidth="10" defaultColWidth="9.140625" defaultRowHeight="15" x14ac:dyDescent="0.3"/>
  <cols>
    <col min="1" max="1" width="2.7109375" style="5" customWidth="1"/>
    <col min="2" max="2" width="59.7109375" style="5" customWidth="1"/>
    <col min="3" max="10" width="10.7109375" style="5" customWidth="1"/>
    <col min="11" max="11" width="17.140625" style="5" customWidth="1"/>
    <col min="12" max="16384" width="9.140625" style="5"/>
  </cols>
  <sheetData>
    <row r="1" spans="2:24" ht="15.75" thickBot="1" x14ac:dyDescent="0.35">
      <c r="B1" s="4"/>
    </row>
    <row r="2" spans="2:24" ht="22.5" customHeight="1" x14ac:dyDescent="0.3">
      <c r="B2" s="103" t="s">
        <v>0</v>
      </c>
      <c r="C2" s="104" t="s">
        <v>1</v>
      </c>
      <c r="D2" s="104"/>
      <c r="E2" s="104"/>
      <c r="F2" s="104"/>
      <c r="G2" s="104"/>
      <c r="H2" s="104"/>
      <c r="I2" s="104"/>
      <c r="J2" s="104"/>
      <c r="K2" s="105"/>
      <c r="L2" s="67"/>
      <c r="M2" s="68"/>
      <c r="N2" s="69"/>
      <c r="O2" s="69"/>
      <c r="P2" s="69"/>
      <c r="Q2" s="69"/>
      <c r="R2" s="69"/>
      <c r="S2" s="69"/>
      <c r="T2" s="69"/>
      <c r="U2" s="69"/>
      <c r="V2" s="69"/>
      <c r="W2" s="69"/>
      <c r="X2" s="69"/>
    </row>
    <row r="3" spans="2:24" ht="30.75" customHeight="1" x14ac:dyDescent="0.3">
      <c r="B3" s="106"/>
      <c r="C3" s="58">
        <v>2020</v>
      </c>
      <c r="D3" s="58">
        <v>2030</v>
      </c>
      <c r="E3" s="58">
        <v>2050</v>
      </c>
      <c r="F3" s="70" t="s">
        <v>2</v>
      </c>
      <c r="G3" s="71"/>
      <c r="H3" s="72" t="s">
        <v>75</v>
      </c>
      <c r="I3" s="73"/>
      <c r="J3" s="58" t="s">
        <v>3</v>
      </c>
      <c r="K3" s="107" t="s">
        <v>4</v>
      </c>
      <c r="L3" s="67"/>
      <c r="M3" s="68"/>
      <c r="N3" s="69"/>
      <c r="O3" s="69"/>
      <c r="P3" s="69"/>
      <c r="Q3" s="69"/>
      <c r="R3" s="69"/>
      <c r="S3" s="69"/>
      <c r="T3" s="69"/>
      <c r="U3" s="69"/>
      <c r="V3" s="69"/>
      <c r="W3" s="69"/>
      <c r="X3" s="69"/>
    </row>
    <row r="4" spans="2:24" x14ac:dyDescent="0.3">
      <c r="B4" s="108" t="s">
        <v>5</v>
      </c>
      <c r="C4" s="58"/>
      <c r="D4" s="58"/>
      <c r="E4" s="58"/>
      <c r="F4" s="58" t="s">
        <v>6</v>
      </c>
      <c r="G4" s="58" t="s">
        <v>7</v>
      </c>
      <c r="H4" s="58" t="s">
        <v>6</v>
      </c>
      <c r="I4" s="58" t="s">
        <v>8</v>
      </c>
      <c r="J4" s="58"/>
      <c r="K4" s="107"/>
      <c r="L4" s="76"/>
      <c r="M4" s="77"/>
      <c r="N4" s="69"/>
      <c r="O4" s="69"/>
      <c r="P4" s="69"/>
      <c r="Q4" s="69"/>
      <c r="R4" s="69"/>
      <c r="S4" s="69"/>
      <c r="T4" s="69"/>
      <c r="U4" s="69"/>
      <c r="V4" s="69"/>
      <c r="W4" s="69"/>
      <c r="X4" s="69"/>
    </row>
    <row r="5" spans="2:24" ht="22.5" customHeight="1" x14ac:dyDescent="0.3">
      <c r="B5" s="109" t="s">
        <v>9</v>
      </c>
      <c r="C5" s="79" t="s">
        <v>10</v>
      </c>
      <c r="D5" s="80"/>
      <c r="E5" s="81"/>
      <c r="F5" s="57"/>
      <c r="G5" s="57"/>
      <c r="H5" s="57"/>
      <c r="I5" s="57"/>
      <c r="J5" s="57"/>
      <c r="K5" s="110"/>
      <c r="L5" s="74"/>
      <c r="M5" s="75"/>
      <c r="N5" s="69"/>
      <c r="O5" s="69"/>
      <c r="P5" s="69"/>
      <c r="Q5" s="69"/>
      <c r="R5" s="69"/>
      <c r="S5" s="69"/>
      <c r="T5" s="69"/>
      <c r="U5" s="69"/>
      <c r="V5" s="69"/>
      <c r="W5" s="69"/>
      <c r="X5" s="69"/>
    </row>
    <row r="6" spans="2:24" ht="19.5" customHeight="1" x14ac:dyDescent="0.3">
      <c r="B6" s="109" t="s">
        <v>11</v>
      </c>
      <c r="C6" s="79" t="s">
        <v>72</v>
      </c>
      <c r="D6" s="80"/>
      <c r="E6" s="81"/>
      <c r="F6" s="57"/>
      <c r="G6" s="57"/>
      <c r="H6" s="57"/>
      <c r="I6" s="57"/>
      <c r="J6" s="57"/>
      <c r="K6" s="110"/>
      <c r="L6" s="74"/>
      <c r="M6" s="75"/>
      <c r="N6" s="69"/>
      <c r="O6" s="69"/>
      <c r="P6" s="69"/>
      <c r="Q6" s="69"/>
      <c r="R6" s="69"/>
      <c r="S6" s="69"/>
      <c r="T6" s="69"/>
      <c r="U6" s="69"/>
      <c r="V6" s="69"/>
      <c r="W6" s="69"/>
      <c r="X6" s="69"/>
    </row>
    <row r="7" spans="2:24" ht="15" customHeight="1" x14ac:dyDescent="0.3">
      <c r="B7" s="109" t="s">
        <v>12</v>
      </c>
      <c r="C7" s="57">
        <v>30</v>
      </c>
      <c r="D7" s="57">
        <v>30</v>
      </c>
      <c r="E7" s="57">
        <v>30</v>
      </c>
      <c r="F7" s="57">
        <v>30</v>
      </c>
      <c r="G7" s="57">
        <v>30</v>
      </c>
      <c r="H7" s="57">
        <v>30</v>
      </c>
      <c r="I7" s="57">
        <v>30</v>
      </c>
      <c r="J7" s="57"/>
      <c r="K7" s="110" t="s">
        <v>13</v>
      </c>
      <c r="L7" s="7"/>
      <c r="M7" s="7"/>
      <c r="N7" s="69"/>
      <c r="O7" s="69"/>
      <c r="P7" s="69"/>
      <c r="Q7" s="69"/>
      <c r="R7" s="69"/>
      <c r="S7" s="69"/>
      <c r="T7" s="69"/>
      <c r="U7" s="69"/>
      <c r="V7" s="69"/>
      <c r="W7" s="69"/>
      <c r="X7" s="69"/>
    </row>
    <row r="8" spans="2:24" ht="15" customHeight="1" x14ac:dyDescent="0.3">
      <c r="B8" s="109" t="s">
        <v>14</v>
      </c>
      <c r="C8" s="57">
        <f>C7/2</f>
        <v>15</v>
      </c>
      <c r="D8" s="57">
        <f t="shared" ref="D8:I8" si="0">D7/2</f>
        <v>15</v>
      </c>
      <c r="E8" s="57">
        <f t="shared" si="0"/>
        <v>15</v>
      </c>
      <c r="F8" s="57">
        <f t="shared" si="0"/>
        <v>15</v>
      </c>
      <c r="G8" s="57">
        <f t="shared" si="0"/>
        <v>15</v>
      </c>
      <c r="H8" s="57">
        <f t="shared" si="0"/>
        <v>15</v>
      </c>
      <c r="I8" s="57">
        <f t="shared" si="0"/>
        <v>15</v>
      </c>
      <c r="J8" s="57"/>
      <c r="K8" s="110" t="s">
        <v>13</v>
      </c>
      <c r="L8" s="74"/>
      <c r="M8" s="75"/>
      <c r="N8" s="69"/>
      <c r="O8" s="69"/>
      <c r="P8" s="69"/>
      <c r="Q8" s="69"/>
      <c r="R8" s="69"/>
      <c r="S8" s="69"/>
      <c r="T8" s="69"/>
      <c r="U8" s="69"/>
      <c r="V8" s="69"/>
      <c r="W8" s="69"/>
      <c r="X8" s="69"/>
    </row>
    <row r="9" spans="2:24" ht="15" customHeight="1" x14ac:dyDescent="0.3">
      <c r="B9" s="109" t="s">
        <v>15</v>
      </c>
      <c r="C9" s="57">
        <f>C8</f>
        <v>15</v>
      </c>
      <c r="D9" s="57">
        <f t="shared" ref="D9:I9" si="1">D8</f>
        <v>15</v>
      </c>
      <c r="E9" s="57">
        <f t="shared" si="1"/>
        <v>15</v>
      </c>
      <c r="F9" s="57">
        <f t="shared" si="1"/>
        <v>15</v>
      </c>
      <c r="G9" s="57">
        <f t="shared" si="1"/>
        <v>15</v>
      </c>
      <c r="H9" s="57">
        <f t="shared" si="1"/>
        <v>15</v>
      </c>
      <c r="I9" s="57">
        <f t="shared" si="1"/>
        <v>15</v>
      </c>
      <c r="J9" s="59" t="s">
        <v>16</v>
      </c>
      <c r="K9" s="110" t="s">
        <v>13</v>
      </c>
      <c r="L9" s="74"/>
      <c r="M9" s="75"/>
      <c r="N9" s="69"/>
      <c r="O9" s="69"/>
      <c r="P9" s="69"/>
      <c r="Q9" s="69"/>
      <c r="R9" s="69"/>
      <c r="S9" s="69"/>
      <c r="T9" s="69"/>
      <c r="U9" s="69"/>
      <c r="V9" s="69"/>
      <c r="W9" s="69"/>
      <c r="X9" s="69"/>
    </row>
    <row r="10" spans="2:24" ht="15" customHeight="1" x14ac:dyDescent="0.3">
      <c r="B10" s="109" t="s">
        <v>17</v>
      </c>
      <c r="C10" s="57">
        <v>81</v>
      </c>
      <c r="D10" s="60">
        <f>Data!M6</f>
        <v>83.361445783132538</v>
      </c>
      <c r="E10" s="60">
        <f>Data!N6</f>
        <v>83.361445783132538</v>
      </c>
      <c r="F10" s="60">
        <f>$C$10+($C$10*Uncertanties!J3)</f>
        <v>69.289156626506028</v>
      </c>
      <c r="G10" s="60">
        <f>$C$10+($C$10*Uncertanties!K3)</f>
        <v>89.783132530120483</v>
      </c>
      <c r="H10" s="60">
        <f>$D$10+($D$10*Uncertanties!L3)</f>
        <v>71.806465698795193</v>
      </c>
      <c r="I10" s="60">
        <f>$D$10+($D$10*Uncertanties!M3)</f>
        <v>92.938258759036145</v>
      </c>
      <c r="J10" s="57" t="s">
        <v>18</v>
      </c>
      <c r="K10" s="110" t="s">
        <v>19</v>
      </c>
      <c r="L10" s="74"/>
      <c r="M10" s="75"/>
      <c r="N10" s="69"/>
      <c r="O10" s="69"/>
      <c r="P10" s="69"/>
      <c r="Q10" s="69"/>
      <c r="R10" s="69"/>
      <c r="S10" s="69"/>
      <c r="T10" s="69"/>
      <c r="U10" s="69"/>
      <c r="V10" s="69"/>
      <c r="W10" s="69"/>
      <c r="X10" s="69"/>
    </row>
    <row r="11" spans="2:24" ht="15" customHeight="1" x14ac:dyDescent="0.3">
      <c r="B11" s="109" t="s">
        <v>193</v>
      </c>
      <c r="C11" s="57">
        <f>POWER(C10/100,0.5)*100</f>
        <v>90</v>
      </c>
      <c r="D11" s="60">
        <f t="shared" ref="D11:I11" si="2">POWER(D10/100,0.5)*100</f>
        <v>91.302489442036872</v>
      </c>
      <c r="E11" s="60">
        <f t="shared" si="2"/>
        <v>91.302489442036872</v>
      </c>
      <c r="F11" s="60">
        <f t="shared" si="2"/>
        <v>83.240108497350022</v>
      </c>
      <c r="G11" s="60">
        <f t="shared" si="2"/>
        <v>94.753961674497006</v>
      </c>
      <c r="H11" s="60">
        <f t="shared" si="2"/>
        <v>84.738695823569998</v>
      </c>
      <c r="I11" s="60">
        <f t="shared" si="2"/>
        <v>96.40449095298213</v>
      </c>
      <c r="J11" s="57" t="s">
        <v>90</v>
      </c>
      <c r="K11" s="110"/>
      <c r="L11" s="74"/>
      <c r="M11" s="75"/>
      <c r="N11" s="69"/>
      <c r="O11" s="69"/>
      <c r="P11" s="69"/>
      <c r="Q11" s="69"/>
      <c r="R11" s="69"/>
      <c r="S11" s="69"/>
      <c r="T11" s="69"/>
      <c r="U11" s="69"/>
      <c r="V11" s="69"/>
      <c r="W11" s="69"/>
      <c r="X11" s="69"/>
    </row>
    <row r="12" spans="2:24" ht="15" customHeight="1" x14ac:dyDescent="0.3">
      <c r="B12" s="111" t="s">
        <v>21</v>
      </c>
      <c r="C12" s="57">
        <f>C11</f>
        <v>90</v>
      </c>
      <c r="D12" s="60">
        <f t="shared" ref="D12:I12" si="3">D11</f>
        <v>91.302489442036872</v>
      </c>
      <c r="E12" s="60">
        <f t="shared" si="3"/>
        <v>91.302489442036872</v>
      </c>
      <c r="F12" s="60">
        <f t="shared" si="3"/>
        <v>83.240108497350022</v>
      </c>
      <c r="G12" s="60">
        <f t="shared" si="3"/>
        <v>94.753961674497006</v>
      </c>
      <c r="H12" s="60">
        <f t="shared" si="3"/>
        <v>84.738695823569998</v>
      </c>
      <c r="I12" s="60">
        <f t="shared" si="3"/>
        <v>96.40449095298213</v>
      </c>
      <c r="J12" s="57" t="s">
        <v>90</v>
      </c>
      <c r="K12" s="110"/>
      <c r="L12" s="74"/>
      <c r="M12" s="75"/>
      <c r="N12" s="69"/>
      <c r="O12" s="69"/>
      <c r="P12" s="69"/>
      <c r="Q12" s="69"/>
      <c r="R12" s="69"/>
      <c r="S12" s="69"/>
      <c r="T12" s="69"/>
      <c r="U12" s="69"/>
      <c r="V12" s="69"/>
      <c r="W12" s="69"/>
      <c r="X12" s="69"/>
    </row>
    <row r="13" spans="2:24" ht="15" customHeight="1" x14ac:dyDescent="0.3">
      <c r="B13" s="109" t="s">
        <v>22</v>
      </c>
      <c r="C13" s="57">
        <v>0.1</v>
      </c>
      <c r="D13" s="57">
        <v>0.1</v>
      </c>
      <c r="E13" s="57">
        <v>0.1</v>
      </c>
      <c r="F13" s="57">
        <v>0</v>
      </c>
      <c r="G13" s="57">
        <v>1</v>
      </c>
      <c r="H13" s="57">
        <v>0</v>
      </c>
      <c r="I13" s="57">
        <v>1</v>
      </c>
      <c r="J13" s="57"/>
      <c r="K13" s="110" t="s">
        <v>73</v>
      </c>
      <c r="L13" s="74"/>
      <c r="M13" s="75"/>
      <c r="N13" s="69"/>
      <c r="O13" s="69"/>
      <c r="P13" s="69"/>
      <c r="Q13" s="69"/>
      <c r="R13" s="69"/>
      <c r="S13" s="69"/>
      <c r="T13" s="69"/>
      <c r="U13" s="69"/>
      <c r="V13" s="69"/>
      <c r="W13" s="69"/>
      <c r="X13" s="69"/>
    </row>
    <row r="14" spans="2:24" ht="15" customHeight="1" x14ac:dyDescent="0.3">
      <c r="B14" s="109" t="s">
        <v>23</v>
      </c>
      <c r="C14" s="57">
        <v>0</v>
      </c>
      <c r="D14" s="57">
        <v>0</v>
      </c>
      <c r="E14" s="57">
        <v>0</v>
      </c>
      <c r="F14" s="57">
        <v>0</v>
      </c>
      <c r="G14" s="57">
        <v>2</v>
      </c>
      <c r="H14" s="57">
        <v>0</v>
      </c>
      <c r="I14" s="57">
        <v>2</v>
      </c>
      <c r="J14" s="57" t="s">
        <v>24</v>
      </c>
      <c r="K14" s="110" t="s">
        <v>20</v>
      </c>
      <c r="L14" s="74"/>
      <c r="M14" s="75"/>
      <c r="N14" s="69"/>
      <c r="O14" s="69"/>
      <c r="P14" s="69"/>
      <c r="Q14" s="69"/>
      <c r="R14" s="69"/>
      <c r="S14" s="69"/>
      <c r="T14" s="69"/>
      <c r="U14" s="69"/>
      <c r="V14" s="69"/>
      <c r="W14" s="69"/>
      <c r="X14" s="69"/>
    </row>
    <row r="15" spans="2:24" ht="15" customHeight="1" x14ac:dyDescent="0.3">
      <c r="B15" s="109" t="s">
        <v>25</v>
      </c>
      <c r="C15" s="57">
        <v>0</v>
      </c>
      <c r="D15" s="57">
        <v>0</v>
      </c>
      <c r="E15" s="57">
        <v>0</v>
      </c>
      <c r="F15" s="57">
        <v>0</v>
      </c>
      <c r="G15" s="57">
        <v>0</v>
      </c>
      <c r="H15" s="57">
        <v>0</v>
      </c>
      <c r="I15" s="57">
        <v>0</v>
      </c>
      <c r="J15" s="57" t="s">
        <v>26</v>
      </c>
      <c r="K15" s="110" t="s">
        <v>20</v>
      </c>
      <c r="L15" s="74"/>
      <c r="M15" s="75"/>
      <c r="N15" s="69"/>
      <c r="O15" s="69"/>
      <c r="P15" s="69"/>
      <c r="Q15" s="69"/>
      <c r="R15" s="69"/>
      <c r="S15" s="69"/>
      <c r="T15" s="69"/>
      <c r="U15" s="69"/>
      <c r="V15" s="69"/>
      <c r="W15" s="69"/>
      <c r="X15" s="69"/>
    </row>
    <row r="16" spans="2:24" ht="15" customHeight="1" x14ac:dyDescent="0.3">
      <c r="B16" s="109" t="s">
        <v>27</v>
      </c>
      <c r="C16" s="57">
        <v>19</v>
      </c>
      <c r="D16" s="60">
        <f>Data!M12</f>
        <v>24</v>
      </c>
      <c r="E16" s="60">
        <f>Data!N12</f>
        <v>24</v>
      </c>
      <c r="F16" s="60">
        <f>$C$16+($C$16*Uncertanties!J4)</f>
        <v>10</v>
      </c>
      <c r="G16" s="60">
        <f>$C$16+($C$16*Uncertanties!K4)</f>
        <v>28</v>
      </c>
      <c r="H16" s="60">
        <f>$D$16+($D$16*Uncertanties!L4)</f>
        <v>13.107959999999984</v>
      </c>
      <c r="I16" s="60">
        <f>$D$16+($D$16*Uncertanties!M4)</f>
        <v>35.569535999999999</v>
      </c>
      <c r="J16" s="57" t="s">
        <v>18</v>
      </c>
      <c r="K16" s="110" t="s">
        <v>28</v>
      </c>
      <c r="L16" s="74"/>
      <c r="M16" s="75"/>
      <c r="N16" s="69"/>
      <c r="O16" s="69"/>
      <c r="P16" s="69"/>
      <c r="Q16" s="69"/>
      <c r="R16" s="69"/>
      <c r="S16" s="69"/>
      <c r="T16" s="69"/>
      <c r="U16" s="69"/>
      <c r="V16" s="69"/>
      <c r="W16" s="69"/>
      <c r="X16" s="69"/>
    </row>
    <row r="17" spans="2:24" ht="15" customHeight="1" x14ac:dyDescent="0.3">
      <c r="B17" s="109" t="s">
        <v>29</v>
      </c>
      <c r="C17" s="57">
        <v>0.5</v>
      </c>
      <c r="D17" s="57">
        <v>0.5</v>
      </c>
      <c r="E17" s="57">
        <v>0.5</v>
      </c>
      <c r="F17" s="57">
        <v>0.2</v>
      </c>
      <c r="G17" s="57">
        <v>2</v>
      </c>
      <c r="H17" s="57">
        <v>0.2</v>
      </c>
      <c r="I17" s="57">
        <v>2</v>
      </c>
      <c r="J17" s="57"/>
      <c r="K17" s="110" t="s">
        <v>30</v>
      </c>
      <c r="L17" s="74"/>
      <c r="M17" s="75"/>
      <c r="N17" s="69"/>
      <c r="O17" s="69"/>
      <c r="P17" s="69"/>
      <c r="Q17" s="69"/>
      <c r="R17" s="69"/>
      <c r="S17" s="69"/>
      <c r="T17" s="69"/>
      <c r="U17" s="69"/>
      <c r="V17" s="69"/>
      <c r="W17" s="69"/>
      <c r="X17" s="69"/>
    </row>
    <row r="18" spans="2:24" ht="15" customHeight="1" x14ac:dyDescent="0.3">
      <c r="B18" s="112" t="s">
        <v>44</v>
      </c>
      <c r="C18" s="61">
        <v>5600</v>
      </c>
      <c r="D18" s="60">
        <v>7500</v>
      </c>
      <c r="E18" s="60">
        <v>7500</v>
      </c>
      <c r="F18" s="60">
        <f>$C$18+($C$18*Uncertanties!J6)</f>
        <v>1100</v>
      </c>
      <c r="G18" s="60">
        <f>$C$18+($C$18*Uncertanties!K6)</f>
        <v>11200</v>
      </c>
      <c r="H18" s="60">
        <v>1500</v>
      </c>
      <c r="I18" s="60">
        <f>$D$18+($D$18*Uncertanties!M6)</f>
        <v>15000</v>
      </c>
      <c r="J18" s="62"/>
      <c r="K18" s="110" t="s">
        <v>20</v>
      </c>
      <c r="L18" s="78"/>
      <c r="M18" s="69"/>
      <c r="N18" s="75"/>
      <c r="O18" s="75"/>
      <c r="P18" s="8"/>
      <c r="Q18" s="8"/>
      <c r="R18" s="8"/>
      <c r="S18" s="8"/>
      <c r="T18" s="8"/>
      <c r="U18" s="8"/>
      <c r="V18" s="8"/>
      <c r="W18" s="8"/>
      <c r="X18" s="8"/>
    </row>
    <row r="19" spans="2:24" ht="15" customHeight="1" x14ac:dyDescent="0.3">
      <c r="B19" s="108" t="s">
        <v>31</v>
      </c>
      <c r="C19" s="56"/>
      <c r="D19" s="56"/>
      <c r="E19" s="56"/>
      <c r="F19" s="56"/>
      <c r="G19" s="56"/>
      <c r="H19" s="56"/>
      <c r="I19" s="56"/>
      <c r="J19" s="56"/>
      <c r="K19" s="113"/>
      <c r="L19" s="67"/>
      <c r="M19" s="68"/>
      <c r="N19" s="68"/>
      <c r="O19" s="69"/>
      <c r="P19" s="69"/>
      <c r="Q19" s="69"/>
      <c r="R19" s="69"/>
      <c r="S19" s="69"/>
      <c r="T19" s="69"/>
      <c r="U19" s="69"/>
      <c r="V19" s="69"/>
      <c r="W19" s="69"/>
      <c r="X19" s="69"/>
    </row>
    <row r="20" spans="2:24" ht="15" customHeight="1" x14ac:dyDescent="0.3">
      <c r="B20" s="109" t="s">
        <v>32</v>
      </c>
      <c r="C20" s="57">
        <v>1E-3</v>
      </c>
      <c r="D20" s="57">
        <v>1E-3</v>
      </c>
      <c r="E20" s="57">
        <v>1E-3</v>
      </c>
      <c r="F20" s="57">
        <v>1E-3</v>
      </c>
      <c r="G20" s="57">
        <v>0.02</v>
      </c>
      <c r="H20" s="57">
        <v>1E-3</v>
      </c>
      <c r="I20" s="57">
        <v>0.02</v>
      </c>
      <c r="J20" s="57" t="s">
        <v>33</v>
      </c>
      <c r="K20" s="110" t="s">
        <v>30</v>
      </c>
      <c r="L20" s="74"/>
      <c r="M20" s="69"/>
      <c r="N20" s="69"/>
      <c r="O20" s="69"/>
      <c r="P20" s="69"/>
      <c r="Q20" s="69"/>
      <c r="R20" s="69"/>
      <c r="S20" s="69"/>
      <c r="T20" s="69"/>
      <c r="U20" s="69"/>
      <c r="V20" s="69"/>
      <c r="W20" s="69"/>
      <c r="X20" s="69"/>
    </row>
    <row r="21" spans="2:24" ht="15" customHeight="1" x14ac:dyDescent="0.3">
      <c r="B21" s="109" t="s">
        <v>34</v>
      </c>
      <c r="C21" s="57">
        <v>0.05</v>
      </c>
      <c r="D21" s="57">
        <v>0.05</v>
      </c>
      <c r="E21" s="57">
        <v>0.05</v>
      </c>
      <c r="F21" s="57">
        <v>1E-3</v>
      </c>
      <c r="G21" s="57">
        <v>0.05</v>
      </c>
      <c r="H21" s="57">
        <v>1E-3</v>
      </c>
      <c r="I21" s="57">
        <v>0.05</v>
      </c>
      <c r="J21" s="57" t="s">
        <v>33</v>
      </c>
      <c r="K21" s="110" t="s">
        <v>30</v>
      </c>
      <c r="L21" s="74"/>
      <c r="M21" s="69"/>
      <c r="N21" s="69"/>
      <c r="O21" s="69"/>
      <c r="P21" s="69"/>
      <c r="Q21" s="69"/>
      <c r="R21" s="69"/>
      <c r="S21" s="69"/>
      <c r="T21" s="69"/>
      <c r="U21" s="69"/>
      <c r="V21" s="69"/>
      <c r="W21" s="69"/>
      <c r="X21" s="69"/>
    </row>
    <row r="22" spans="2:24" ht="15" customHeight="1" x14ac:dyDescent="0.3">
      <c r="B22" s="108" t="s">
        <v>35</v>
      </c>
      <c r="C22" s="56"/>
      <c r="D22" s="56"/>
      <c r="E22" s="56"/>
      <c r="F22" s="56"/>
      <c r="G22" s="56"/>
      <c r="H22" s="56"/>
      <c r="I22" s="56"/>
      <c r="J22" s="56"/>
      <c r="K22" s="113"/>
      <c r="L22" s="76"/>
      <c r="M22" s="77"/>
      <c r="N22" s="77"/>
      <c r="O22" s="69"/>
      <c r="P22" s="69"/>
      <c r="Q22" s="69"/>
      <c r="R22" s="69"/>
      <c r="S22" s="69"/>
      <c r="T22" s="69"/>
      <c r="U22" s="69"/>
      <c r="V22" s="69"/>
      <c r="W22" s="69"/>
      <c r="X22" s="69"/>
    </row>
    <row r="23" spans="2:24" ht="15" customHeight="1" x14ac:dyDescent="0.3">
      <c r="B23" s="109" t="s">
        <v>124</v>
      </c>
      <c r="C23" s="63">
        <f>((C24+C26)*C7+C25*C8)/C7</f>
        <v>0.38330000000000003</v>
      </c>
      <c r="D23" s="63">
        <f t="shared" ref="D23:I23" si="4">((D24+D26)*D7+D25*D8)/D7</f>
        <v>0.21725</v>
      </c>
      <c r="E23" s="63">
        <f t="shared" si="4"/>
        <v>8.9125528619242958E-2</v>
      </c>
      <c r="F23" s="63">
        <f t="shared" si="4"/>
        <v>0.27749999999999997</v>
      </c>
      <c r="G23" s="63">
        <f t="shared" si="4"/>
        <v>0.75825000000000009</v>
      </c>
      <c r="H23" s="63">
        <f t="shared" si="4"/>
        <v>0.15604373999999996</v>
      </c>
      <c r="I23" s="63">
        <f t="shared" si="4"/>
        <v>0.42617342000000014</v>
      </c>
      <c r="J23" s="57"/>
      <c r="K23" s="110" t="s">
        <v>13</v>
      </c>
      <c r="L23" s="74"/>
      <c r="M23" s="75"/>
      <c r="N23" s="69"/>
      <c r="O23" s="69"/>
      <c r="P23" s="69"/>
      <c r="Q23" s="69"/>
      <c r="R23" s="69"/>
      <c r="S23" s="69"/>
      <c r="T23" s="69"/>
      <c r="U23" s="69"/>
      <c r="V23" s="69"/>
      <c r="W23" s="69"/>
      <c r="X23" s="69"/>
    </row>
    <row r="24" spans="2:24" ht="15" customHeight="1" x14ac:dyDescent="0.3">
      <c r="B24" s="109" t="s">
        <v>36</v>
      </c>
      <c r="C24" s="64">
        <v>0.2908</v>
      </c>
      <c r="D24" s="64">
        <v>0.16200000000000001</v>
      </c>
      <c r="E24" s="64">
        <f>Data!H17</f>
        <v>5.0236883762580883E-2</v>
      </c>
      <c r="F24" s="64">
        <v>0.2077</v>
      </c>
      <c r="G24" s="64">
        <v>0.58160000000000001</v>
      </c>
      <c r="H24" s="64">
        <v>0.1157</v>
      </c>
      <c r="I24" s="64">
        <v>0.32400000000000001</v>
      </c>
      <c r="J24" s="57"/>
      <c r="K24" s="110" t="s">
        <v>13</v>
      </c>
      <c r="L24" s="7"/>
      <c r="M24" s="7"/>
      <c r="N24" s="69"/>
      <c r="O24" s="69"/>
      <c r="P24" s="69"/>
      <c r="Q24" s="69"/>
      <c r="R24" s="69"/>
      <c r="S24" s="69"/>
      <c r="T24" s="69"/>
      <c r="U24" s="69"/>
      <c r="V24" s="69"/>
      <c r="W24" s="69"/>
      <c r="X24" s="69"/>
    </row>
    <row r="25" spans="2:24" ht="15" customHeight="1" x14ac:dyDescent="0.3">
      <c r="B25" s="109" t="s">
        <v>37</v>
      </c>
      <c r="C25" s="65">
        <v>8.5000000000000006E-2</v>
      </c>
      <c r="D25" s="64">
        <v>5.0500000000000003E-2</v>
      </c>
      <c r="E25" s="64">
        <f>Data!H18</f>
        <v>1.7777289713324144E-2</v>
      </c>
      <c r="F25" s="64">
        <v>5.96E-2</v>
      </c>
      <c r="G25" s="64">
        <v>0.15329999999999999</v>
      </c>
      <c r="H25" s="64">
        <v>3.5299999999999998E-2</v>
      </c>
      <c r="I25" s="64">
        <v>9.0999999999999998E-2</v>
      </c>
      <c r="J25" s="57"/>
      <c r="K25" s="110" t="s">
        <v>13</v>
      </c>
      <c r="L25" s="74"/>
      <c r="M25" s="75"/>
      <c r="N25" s="69"/>
      <c r="O25" s="69"/>
      <c r="P25" s="69"/>
      <c r="Q25" s="69"/>
      <c r="R25" s="69"/>
      <c r="S25" s="69"/>
      <c r="T25" s="69"/>
      <c r="U25" s="69"/>
      <c r="V25" s="69"/>
      <c r="W25" s="69"/>
      <c r="X25" s="69"/>
    </row>
    <row r="26" spans="2:24" ht="15" customHeight="1" x14ac:dyDescent="0.3">
      <c r="B26" s="109" t="s">
        <v>39</v>
      </c>
      <c r="C26" s="65">
        <v>0.05</v>
      </c>
      <c r="D26" s="63">
        <f>Data!M19</f>
        <v>2.9999999999999995E-2</v>
      </c>
      <c r="E26" s="63">
        <f>Data!N19</f>
        <v>2.9999999999999995E-2</v>
      </c>
      <c r="F26" s="63">
        <f>$C$26+($C$26*Uncertanties!J5)</f>
        <v>0.04</v>
      </c>
      <c r="G26" s="63">
        <f>$C$26+($C$26*Uncertanties!K5)</f>
        <v>0.1</v>
      </c>
      <c r="H26" s="63">
        <f>$D$26+($D$26*Uncertanties!L5)</f>
        <v>2.2693740000000004E-2</v>
      </c>
      <c r="I26" s="63">
        <f>$D$26+($D$26*Uncertanties!M5)</f>
        <v>5.6673420000000078E-2</v>
      </c>
      <c r="J26" s="57"/>
      <c r="K26" s="110" t="s">
        <v>30</v>
      </c>
      <c r="L26" s="74"/>
      <c r="M26" s="75"/>
      <c r="N26" s="69"/>
      <c r="O26" s="69"/>
      <c r="P26" s="69"/>
      <c r="Q26" s="69"/>
      <c r="R26" s="69"/>
      <c r="S26" s="69"/>
      <c r="T26" s="69"/>
      <c r="U26" s="69"/>
      <c r="V26" s="69"/>
      <c r="W26" s="69"/>
      <c r="X26" s="69"/>
    </row>
    <row r="27" spans="2:24" ht="15" customHeight="1" x14ac:dyDescent="0.3">
      <c r="B27" s="109" t="s">
        <v>89</v>
      </c>
      <c r="C27" s="66">
        <v>3.996</v>
      </c>
      <c r="D27" s="66">
        <f>Data!M20</f>
        <v>4</v>
      </c>
      <c r="E27" s="66">
        <f>Data!N20</f>
        <v>4</v>
      </c>
      <c r="F27" s="66">
        <f>2*1.11</f>
        <v>2.2200000000000002</v>
      </c>
      <c r="G27" s="66">
        <f>17.3*1.11</f>
        <v>19.203000000000003</v>
      </c>
      <c r="H27" s="66">
        <f>2*1.11</f>
        <v>2.2200000000000002</v>
      </c>
      <c r="I27" s="66">
        <f>17.3*1.11</f>
        <v>19.203000000000003</v>
      </c>
      <c r="J27" s="57"/>
      <c r="K27" s="110" t="s">
        <v>76</v>
      </c>
      <c r="L27" s="74"/>
      <c r="M27" s="75"/>
      <c r="N27" s="69"/>
      <c r="O27" s="69"/>
      <c r="P27" s="69"/>
      <c r="Q27" s="69"/>
      <c r="R27" s="69"/>
      <c r="S27" s="69"/>
      <c r="T27" s="69"/>
      <c r="U27" s="69"/>
      <c r="V27" s="69"/>
      <c r="W27" s="69"/>
      <c r="X27" s="69"/>
    </row>
    <row r="28" spans="2:24" ht="15" customHeight="1" x14ac:dyDescent="0.3">
      <c r="B28" s="109" t="s">
        <v>77</v>
      </c>
      <c r="C28" s="66">
        <f>1.8*1.11</f>
        <v>1.9980000000000002</v>
      </c>
      <c r="D28" s="66">
        <f>Data!M21</f>
        <v>2</v>
      </c>
      <c r="E28" s="66">
        <f>Data!N21</f>
        <v>2</v>
      </c>
      <c r="F28" s="66">
        <f>0.3*1.11</f>
        <v>0.33300000000000002</v>
      </c>
      <c r="G28" s="66">
        <f>5.6*1.11</f>
        <v>6.2160000000000002</v>
      </c>
      <c r="H28" s="66">
        <f>0.3*1.11</f>
        <v>0.33300000000000002</v>
      </c>
      <c r="I28" s="66">
        <f>5.6*1.11</f>
        <v>6.2160000000000002</v>
      </c>
      <c r="J28" s="57"/>
      <c r="K28" s="110" t="s">
        <v>76</v>
      </c>
      <c r="L28" s="74"/>
      <c r="M28" s="75"/>
      <c r="N28" s="69"/>
      <c r="O28" s="69"/>
      <c r="P28" s="69"/>
      <c r="Q28" s="69"/>
      <c r="R28" s="69"/>
      <c r="S28" s="69"/>
      <c r="T28" s="69"/>
      <c r="U28" s="69"/>
      <c r="V28" s="69"/>
      <c r="W28" s="69"/>
      <c r="X28" s="69"/>
    </row>
    <row r="29" spans="2:24" ht="15" customHeight="1" x14ac:dyDescent="0.3">
      <c r="B29" s="108" t="s">
        <v>42</v>
      </c>
      <c r="C29" s="56"/>
      <c r="D29" s="56"/>
      <c r="E29" s="56"/>
      <c r="F29" s="56"/>
      <c r="G29" s="56"/>
      <c r="H29" s="56"/>
      <c r="I29" s="56"/>
      <c r="J29" s="56"/>
      <c r="K29" s="113"/>
      <c r="L29" s="76"/>
      <c r="M29" s="77"/>
      <c r="N29" s="77"/>
      <c r="O29" s="69"/>
      <c r="P29" s="69"/>
      <c r="Q29" s="69"/>
      <c r="R29" s="69"/>
      <c r="S29" s="69"/>
      <c r="T29" s="69"/>
      <c r="U29" s="69"/>
      <c r="V29" s="69"/>
      <c r="W29" s="69"/>
      <c r="X29" s="69"/>
    </row>
    <row r="30" spans="2:24" ht="15" customHeight="1" x14ac:dyDescent="0.3">
      <c r="B30" s="109" t="s">
        <v>43</v>
      </c>
      <c r="C30" s="64">
        <f>((C24+C26)*C7+C25*C8)/C8</f>
        <v>0.76660000000000006</v>
      </c>
      <c r="D30" s="64">
        <f t="shared" ref="D30:I30" si="5">((D24+D26)*D7+D25*D8)/D8</f>
        <v>0.4345</v>
      </c>
      <c r="E30" s="64">
        <f t="shared" si="5"/>
        <v>0.17825105723848592</v>
      </c>
      <c r="F30" s="64">
        <f t="shared" si="5"/>
        <v>0.55499999999999994</v>
      </c>
      <c r="G30" s="64">
        <f t="shared" si="5"/>
        <v>1.5165000000000002</v>
      </c>
      <c r="H30" s="64">
        <f t="shared" si="5"/>
        <v>0.31208747999999992</v>
      </c>
      <c r="I30" s="64">
        <f t="shared" si="5"/>
        <v>0.85234684000000027</v>
      </c>
      <c r="J30" s="57"/>
      <c r="K30" s="110" t="s">
        <v>125</v>
      </c>
      <c r="L30" s="74"/>
      <c r="M30" s="75"/>
      <c r="N30" s="69"/>
      <c r="O30" s="69"/>
      <c r="P30" s="69"/>
      <c r="Q30" s="69"/>
      <c r="R30" s="69"/>
      <c r="S30" s="69"/>
      <c r="T30" s="69"/>
      <c r="U30" s="69"/>
      <c r="V30" s="69"/>
      <c r="W30" s="69"/>
      <c r="X30" s="69"/>
    </row>
    <row r="31" spans="2:24" ht="15" customHeight="1" x14ac:dyDescent="0.3">
      <c r="B31" s="109" t="s">
        <v>45</v>
      </c>
      <c r="C31" s="57">
        <f>C33/(C7/C8)</f>
        <v>28</v>
      </c>
      <c r="D31" s="57">
        <f t="shared" ref="D31:I31" si="6">D33/(D7/D8)</f>
        <v>28</v>
      </c>
      <c r="E31" s="57">
        <f t="shared" si="6"/>
        <v>28</v>
      </c>
      <c r="F31" s="57">
        <f t="shared" si="6"/>
        <v>21</v>
      </c>
      <c r="G31" s="57">
        <f t="shared" si="6"/>
        <v>35</v>
      </c>
      <c r="H31" s="57">
        <f t="shared" si="6"/>
        <v>21</v>
      </c>
      <c r="I31" s="57">
        <f t="shared" si="6"/>
        <v>35</v>
      </c>
      <c r="J31" s="57" t="s">
        <v>91</v>
      </c>
      <c r="K31" s="110" t="s">
        <v>30</v>
      </c>
      <c r="L31" s="78"/>
      <c r="M31" s="69"/>
      <c r="N31" s="75"/>
      <c r="O31" s="75"/>
      <c r="P31" s="8"/>
      <c r="Q31" s="8"/>
      <c r="R31" s="8"/>
      <c r="S31" s="8"/>
      <c r="T31" s="8"/>
      <c r="U31" s="8"/>
      <c r="V31" s="8"/>
      <c r="W31" s="8"/>
      <c r="X31" s="8"/>
    </row>
    <row r="32" spans="2:24" ht="15" customHeight="1" x14ac:dyDescent="0.3">
      <c r="B32" s="109" t="s">
        <v>46</v>
      </c>
      <c r="C32" s="57">
        <f t="shared" ref="C32:I32" si="7">C34/(C7/C8)</f>
        <v>13000</v>
      </c>
      <c r="D32" s="57">
        <f t="shared" si="7"/>
        <v>13000</v>
      </c>
      <c r="E32" s="57">
        <f t="shared" si="7"/>
        <v>13000</v>
      </c>
      <c r="F32" s="57">
        <f t="shared" si="7"/>
        <v>9750</v>
      </c>
      <c r="G32" s="57">
        <f t="shared" si="7"/>
        <v>16250</v>
      </c>
      <c r="H32" s="57">
        <f t="shared" si="7"/>
        <v>9750</v>
      </c>
      <c r="I32" s="57">
        <f t="shared" si="7"/>
        <v>16250</v>
      </c>
      <c r="J32" s="57" t="s">
        <v>91</v>
      </c>
      <c r="K32" s="110" t="s">
        <v>30</v>
      </c>
      <c r="L32" s="78"/>
      <c r="M32" s="69"/>
      <c r="N32" s="75"/>
      <c r="O32" s="75"/>
      <c r="P32" s="8"/>
      <c r="Q32" s="8"/>
      <c r="R32" s="8"/>
      <c r="S32" s="8"/>
      <c r="T32" s="8"/>
      <c r="U32" s="8"/>
      <c r="V32" s="8"/>
      <c r="W32" s="8"/>
      <c r="X32" s="9"/>
    </row>
    <row r="33" spans="2:24" ht="15" customHeight="1" x14ac:dyDescent="0.3">
      <c r="B33" s="109" t="s">
        <v>47</v>
      </c>
      <c r="C33" s="57">
        <v>56</v>
      </c>
      <c r="D33" s="57">
        <v>56</v>
      </c>
      <c r="E33" s="57">
        <v>56</v>
      </c>
      <c r="F33" s="57">
        <v>42</v>
      </c>
      <c r="G33" s="57">
        <v>70</v>
      </c>
      <c r="H33" s="57">
        <f t="shared" ref="H33:H34" si="8">F33</f>
        <v>42</v>
      </c>
      <c r="I33" s="57">
        <f t="shared" ref="I33:I34" si="9">G33</f>
        <v>70</v>
      </c>
      <c r="J33" s="57" t="s">
        <v>92</v>
      </c>
      <c r="K33" s="110" t="s">
        <v>30</v>
      </c>
      <c r="L33" s="78"/>
      <c r="M33" s="69"/>
      <c r="N33" s="75"/>
      <c r="O33" s="75"/>
      <c r="P33" s="8"/>
      <c r="Q33" s="8"/>
      <c r="R33" s="8"/>
      <c r="S33" s="8"/>
      <c r="T33" s="8"/>
      <c r="U33" s="8"/>
      <c r="V33" s="8"/>
      <c r="W33" s="8"/>
      <c r="X33" s="9"/>
    </row>
    <row r="34" spans="2:24" ht="15" customHeight="1" thickBot="1" x14ac:dyDescent="0.35">
      <c r="B34" s="114" t="s">
        <v>48</v>
      </c>
      <c r="C34" s="115">
        <v>26000</v>
      </c>
      <c r="D34" s="115">
        <v>26000</v>
      </c>
      <c r="E34" s="115">
        <v>26000</v>
      </c>
      <c r="F34" s="115">
        <v>19500</v>
      </c>
      <c r="G34" s="115">
        <v>32500</v>
      </c>
      <c r="H34" s="115">
        <f t="shared" si="8"/>
        <v>19500</v>
      </c>
      <c r="I34" s="115">
        <f t="shared" si="9"/>
        <v>32500</v>
      </c>
      <c r="J34" s="115" t="s">
        <v>92</v>
      </c>
      <c r="K34" s="116" t="s">
        <v>30</v>
      </c>
      <c r="L34" s="10"/>
      <c r="M34" s="11"/>
      <c r="N34" s="75"/>
      <c r="O34" s="75"/>
      <c r="P34" s="8"/>
      <c r="Q34" s="8"/>
      <c r="R34" s="8"/>
      <c r="S34" s="8"/>
      <c r="T34" s="8"/>
      <c r="U34" s="8"/>
      <c r="V34" s="8"/>
      <c r="W34" s="8"/>
      <c r="X34" s="9"/>
    </row>
    <row r="35" spans="2:24" x14ac:dyDescent="0.3">
      <c r="B35" s="12"/>
    </row>
    <row r="36" spans="2:24" ht="18" x14ac:dyDescent="0.3">
      <c r="B36" s="13"/>
    </row>
    <row r="37" spans="2:24" x14ac:dyDescent="0.3">
      <c r="B37" s="12"/>
    </row>
    <row r="38" spans="2:24" x14ac:dyDescent="0.3">
      <c r="B38" s="14" t="s">
        <v>49</v>
      </c>
      <c r="C38" s="14"/>
      <c r="D38" s="8"/>
      <c r="E38" s="8"/>
      <c r="F38" s="8"/>
      <c r="G38" s="8"/>
      <c r="H38" s="8"/>
      <c r="I38" s="8"/>
      <c r="J38" s="8"/>
      <c r="K38" s="8"/>
      <c r="L38" s="9"/>
      <c r="M38" s="69"/>
      <c r="N38" s="75"/>
      <c r="O38" s="75"/>
      <c r="P38" s="75"/>
      <c r="Q38" s="75"/>
      <c r="R38" s="75"/>
      <c r="S38" s="75"/>
      <c r="T38" s="75"/>
      <c r="U38" s="75"/>
      <c r="V38" s="75"/>
      <c r="W38" s="69"/>
    </row>
    <row r="39" spans="2:24" x14ac:dyDescent="0.3">
      <c r="B39" s="10" t="s">
        <v>16</v>
      </c>
      <c r="C39" s="15" t="s">
        <v>50</v>
      </c>
      <c r="D39" s="8"/>
      <c r="E39" s="8"/>
      <c r="F39" s="8"/>
      <c r="G39" s="8"/>
      <c r="H39" s="8"/>
      <c r="I39" s="8"/>
      <c r="J39" s="8"/>
      <c r="K39" s="8"/>
      <c r="L39" s="9"/>
      <c r="M39" s="69"/>
      <c r="N39" s="75"/>
      <c r="O39" s="75"/>
      <c r="P39" s="75"/>
      <c r="Q39" s="75"/>
      <c r="R39" s="75"/>
      <c r="S39" s="75"/>
      <c r="T39" s="75"/>
      <c r="U39" s="75"/>
      <c r="V39" s="75"/>
      <c r="W39" s="69"/>
    </row>
    <row r="40" spans="2:24" x14ac:dyDescent="0.3">
      <c r="B40" s="10" t="s">
        <v>24</v>
      </c>
      <c r="C40" s="15" t="s">
        <v>51</v>
      </c>
      <c r="D40" s="9"/>
      <c r="E40" s="9"/>
      <c r="F40" s="9"/>
      <c r="G40" s="9"/>
      <c r="H40" s="9"/>
      <c r="I40" s="9"/>
      <c r="J40" s="9"/>
      <c r="K40" s="9"/>
      <c r="L40" s="9"/>
      <c r="M40" s="9"/>
      <c r="N40" s="8"/>
      <c r="O40" s="8"/>
      <c r="P40" s="8"/>
      <c r="Q40" s="8"/>
      <c r="R40" s="8"/>
      <c r="S40" s="8"/>
      <c r="T40" s="8"/>
      <c r="U40" s="8"/>
      <c r="V40" s="8"/>
      <c r="W40" s="9"/>
    </row>
    <row r="41" spans="2:24" x14ac:dyDescent="0.3">
      <c r="B41" s="10" t="s">
        <v>26</v>
      </c>
      <c r="C41" s="15" t="s">
        <v>52</v>
      </c>
      <c r="D41" s="9"/>
      <c r="E41" s="9"/>
      <c r="F41" s="9"/>
      <c r="G41" s="9"/>
      <c r="H41" s="9"/>
      <c r="I41" s="9"/>
      <c r="J41" s="9"/>
      <c r="K41" s="9"/>
      <c r="L41" s="9"/>
      <c r="M41" s="9"/>
      <c r="N41" s="8"/>
      <c r="O41" s="8"/>
      <c r="P41" s="8"/>
      <c r="Q41" s="8"/>
      <c r="R41" s="8"/>
      <c r="S41" s="8"/>
      <c r="T41" s="8"/>
      <c r="U41" s="8"/>
      <c r="V41" s="8"/>
      <c r="W41" s="9"/>
    </row>
    <row r="42" spans="2:24" x14ac:dyDescent="0.3">
      <c r="B42" s="10" t="s">
        <v>33</v>
      </c>
      <c r="C42" s="5" t="s">
        <v>53</v>
      </c>
      <c r="M42" s="9"/>
      <c r="N42" s="8"/>
      <c r="O42" s="8"/>
      <c r="P42" s="8"/>
      <c r="Q42" s="8"/>
      <c r="R42" s="8"/>
      <c r="S42" s="8"/>
      <c r="T42" s="8"/>
      <c r="U42" s="8"/>
      <c r="V42" s="8"/>
      <c r="W42" s="9"/>
    </row>
    <row r="43" spans="2:24" ht="18" customHeight="1" x14ac:dyDescent="0.3">
      <c r="B43" s="10" t="s">
        <v>90</v>
      </c>
      <c r="C43" s="15" t="s">
        <v>54</v>
      </c>
      <c r="M43" s="9"/>
      <c r="N43" s="8"/>
      <c r="O43" s="8"/>
      <c r="P43" s="8"/>
      <c r="Q43" s="8"/>
      <c r="R43" s="8"/>
      <c r="S43" s="8"/>
      <c r="T43" s="8"/>
      <c r="U43" s="8"/>
      <c r="V43" s="8"/>
      <c r="W43" s="9"/>
    </row>
    <row r="44" spans="2:24" x14ac:dyDescent="0.3">
      <c r="B44" s="10" t="s">
        <v>91</v>
      </c>
      <c r="C44" s="1" t="s">
        <v>95</v>
      </c>
      <c r="M44" s="9"/>
      <c r="N44" s="8"/>
      <c r="O44" s="8"/>
      <c r="P44" s="8"/>
      <c r="Q44" s="8"/>
      <c r="R44" s="8"/>
      <c r="S44" s="8"/>
      <c r="T44" s="8"/>
      <c r="U44" s="8"/>
      <c r="V44" s="8"/>
      <c r="W44" s="9"/>
    </row>
    <row r="45" spans="2:24" ht="15" customHeight="1" x14ac:dyDescent="0.3">
      <c r="B45" s="10" t="s">
        <v>38</v>
      </c>
      <c r="C45" s="15" t="s">
        <v>96</v>
      </c>
      <c r="D45" s="15"/>
      <c r="E45" s="15"/>
      <c r="F45" s="15"/>
      <c r="G45" s="15"/>
      <c r="H45" s="15"/>
      <c r="I45" s="15"/>
      <c r="J45" s="15"/>
      <c r="K45" s="15"/>
      <c r="L45" s="15"/>
      <c r="M45" s="15"/>
      <c r="N45" s="75"/>
      <c r="O45" s="75"/>
      <c r="P45" s="75"/>
      <c r="Q45" s="75"/>
      <c r="R45" s="75"/>
      <c r="S45" s="75"/>
      <c r="T45" s="75"/>
      <c r="U45" s="75"/>
      <c r="V45" s="75"/>
      <c r="W45" s="69"/>
    </row>
    <row r="46" spans="2:24" ht="14.45" customHeight="1" x14ac:dyDescent="0.3">
      <c r="B46" s="10" t="s">
        <v>40</v>
      </c>
      <c r="C46" s="15" t="s">
        <v>93</v>
      </c>
      <c r="D46" s="15"/>
      <c r="E46" s="15"/>
      <c r="F46" s="15"/>
      <c r="G46" s="15"/>
      <c r="H46" s="15"/>
      <c r="I46" s="15"/>
      <c r="J46" s="15"/>
      <c r="K46" s="15"/>
      <c r="L46" s="15"/>
      <c r="M46" s="15"/>
      <c r="N46" s="75"/>
      <c r="O46" s="75"/>
      <c r="P46" s="75"/>
      <c r="Q46" s="75"/>
      <c r="R46" s="75"/>
      <c r="S46" s="75"/>
      <c r="T46" s="75"/>
      <c r="U46" s="75"/>
      <c r="V46" s="75"/>
      <c r="W46" s="69"/>
    </row>
    <row r="47" spans="2:24" ht="14.45" customHeight="1" x14ac:dyDescent="0.3">
      <c r="B47" s="10" t="s">
        <v>41</v>
      </c>
      <c r="C47" s="15" t="s">
        <v>94</v>
      </c>
      <c r="D47" s="15"/>
      <c r="E47" s="15"/>
      <c r="F47" s="15"/>
      <c r="G47" s="15"/>
      <c r="H47" s="15"/>
      <c r="I47" s="15"/>
      <c r="J47" s="15"/>
      <c r="K47" s="15"/>
      <c r="L47" s="15"/>
      <c r="M47" s="15"/>
      <c r="N47" s="8"/>
      <c r="O47" s="8"/>
      <c r="P47" s="8"/>
      <c r="Q47" s="8"/>
      <c r="R47" s="8"/>
      <c r="S47" s="8"/>
      <c r="T47" s="8"/>
      <c r="U47" s="8"/>
      <c r="V47" s="8"/>
      <c r="W47" s="9"/>
    </row>
    <row r="48" spans="2:24" x14ac:dyDescent="0.3">
      <c r="B48" s="10"/>
      <c r="C48" s="1"/>
      <c r="M48" s="9"/>
      <c r="N48" s="8"/>
      <c r="O48" s="8"/>
      <c r="P48" s="8"/>
      <c r="Q48" s="8"/>
      <c r="R48" s="8"/>
      <c r="S48" s="8"/>
      <c r="T48" s="8"/>
      <c r="U48" s="8"/>
      <c r="V48" s="8"/>
      <c r="W48" s="9"/>
    </row>
    <row r="49" spans="2:23" x14ac:dyDescent="0.3">
      <c r="B49" s="14" t="s">
        <v>55</v>
      </c>
      <c r="D49" s="9"/>
      <c r="E49" s="9"/>
      <c r="F49" s="9"/>
      <c r="G49" s="9"/>
      <c r="H49" s="9"/>
      <c r="I49" s="9"/>
      <c r="J49" s="9"/>
      <c r="K49" s="9"/>
      <c r="L49" s="9"/>
      <c r="M49" s="9"/>
      <c r="N49" s="8"/>
      <c r="O49" s="8"/>
      <c r="P49" s="8"/>
      <c r="Q49" s="8"/>
      <c r="R49" s="8"/>
      <c r="S49" s="8"/>
      <c r="T49" s="8"/>
      <c r="U49" s="8"/>
      <c r="V49" s="8"/>
      <c r="W49" s="9"/>
    </row>
    <row r="50" spans="2:23" x14ac:dyDescent="0.3">
      <c r="B50" s="16" t="s">
        <v>13</v>
      </c>
      <c r="C50" s="1" t="s">
        <v>56</v>
      </c>
      <c r="D50" s="9"/>
      <c r="E50" s="9"/>
      <c r="F50" s="9"/>
      <c r="G50" s="9"/>
      <c r="H50" s="9"/>
      <c r="I50" s="9"/>
      <c r="J50" s="9"/>
      <c r="K50" s="9"/>
      <c r="L50" s="9"/>
      <c r="M50" s="9"/>
      <c r="N50" s="8"/>
      <c r="O50" s="8"/>
      <c r="P50" s="8"/>
      <c r="Q50" s="8"/>
      <c r="R50" s="8"/>
      <c r="S50" s="8"/>
      <c r="T50" s="8"/>
      <c r="U50" s="8"/>
      <c r="V50" s="8"/>
      <c r="W50" s="9"/>
    </row>
    <row r="51" spans="2:23" x14ac:dyDescent="0.3">
      <c r="B51" s="16" t="s">
        <v>20</v>
      </c>
      <c r="C51" s="7" t="s">
        <v>57</v>
      </c>
      <c r="D51" s="9"/>
      <c r="E51" s="9"/>
      <c r="F51" s="9"/>
      <c r="G51" s="9"/>
      <c r="H51" s="9"/>
      <c r="I51" s="9"/>
      <c r="J51" s="9"/>
      <c r="K51" s="9"/>
      <c r="L51" s="9"/>
      <c r="M51" s="9"/>
      <c r="N51" s="8"/>
      <c r="O51" s="8"/>
      <c r="P51" s="8"/>
      <c r="Q51" s="8"/>
      <c r="R51" s="8"/>
      <c r="S51" s="8"/>
      <c r="T51" s="8"/>
      <c r="U51" s="8"/>
      <c r="V51" s="8"/>
      <c r="W51" s="9"/>
    </row>
    <row r="52" spans="2:23" x14ac:dyDescent="0.3">
      <c r="B52" s="16" t="s">
        <v>58</v>
      </c>
      <c r="C52" s="7" t="s">
        <v>59</v>
      </c>
      <c r="D52" s="9"/>
      <c r="E52" s="9"/>
      <c r="F52" s="9"/>
      <c r="G52" s="9"/>
      <c r="H52" s="9"/>
      <c r="I52" s="9"/>
      <c r="J52" s="9"/>
      <c r="K52" s="9"/>
      <c r="L52" s="9"/>
      <c r="M52" s="9"/>
      <c r="N52" s="8"/>
      <c r="O52" s="8"/>
      <c r="P52" s="8"/>
      <c r="Q52" s="8"/>
      <c r="R52" s="8"/>
      <c r="S52" s="8"/>
      <c r="T52" s="8"/>
      <c r="U52" s="8"/>
      <c r="V52" s="8"/>
      <c r="W52" s="9"/>
    </row>
    <row r="53" spans="2:23" x14ac:dyDescent="0.3">
      <c r="B53" s="16" t="s">
        <v>60</v>
      </c>
      <c r="C53" s="5" t="s">
        <v>61</v>
      </c>
      <c r="D53" s="9"/>
      <c r="E53" s="9"/>
      <c r="F53" s="9"/>
      <c r="G53" s="9"/>
      <c r="H53" s="9"/>
      <c r="I53" s="9"/>
      <c r="J53" s="9"/>
      <c r="K53" s="9"/>
      <c r="L53" s="9"/>
      <c r="M53" s="9"/>
      <c r="N53" s="8"/>
      <c r="O53" s="8"/>
      <c r="P53" s="8"/>
      <c r="Q53" s="8"/>
      <c r="R53" s="8"/>
      <c r="S53" s="8"/>
      <c r="T53" s="8"/>
      <c r="U53" s="8"/>
      <c r="V53" s="8"/>
      <c r="W53" s="9"/>
    </row>
    <row r="54" spans="2:23" x14ac:dyDescent="0.3">
      <c r="B54" s="16" t="s">
        <v>62</v>
      </c>
      <c r="C54" s="5" t="s">
        <v>129</v>
      </c>
      <c r="D54" s="9"/>
      <c r="E54" s="9"/>
      <c r="F54" s="9"/>
      <c r="G54" s="9"/>
      <c r="H54" s="9"/>
      <c r="I54" s="9"/>
      <c r="J54" s="9"/>
      <c r="K54" s="9"/>
      <c r="L54" s="9"/>
      <c r="M54" s="9"/>
      <c r="N54" s="8"/>
      <c r="O54" s="8"/>
      <c r="P54" s="8"/>
      <c r="Q54" s="8"/>
      <c r="R54" s="8"/>
      <c r="S54" s="8"/>
      <c r="T54" s="8"/>
      <c r="U54" s="8"/>
      <c r="V54" s="8"/>
      <c r="W54" s="9"/>
    </row>
    <row r="55" spans="2:23" x14ac:dyDescent="0.3">
      <c r="B55" s="16" t="s">
        <v>74</v>
      </c>
      <c r="C55" s="5" t="s">
        <v>88</v>
      </c>
      <c r="D55" s="9"/>
      <c r="E55" s="9"/>
      <c r="F55" s="9"/>
      <c r="G55" s="9"/>
      <c r="H55" s="9"/>
      <c r="I55" s="9"/>
      <c r="J55" s="9"/>
      <c r="K55" s="9"/>
      <c r="L55" s="9"/>
      <c r="M55" s="9"/>
      <c r="N55" s="8"/>
      <c r="O55" s="8"/>
      <c r="P55" s="8"/>
      <c r="Q55" s="8"/>
      <c r="R55" s="8"/>
      <c r="S55" s="8"/>
      <c r="T55" s="8"/>
      <c r="U55" s="8"/>
      <c r="V55" s="8"/>
      <c r="W55" s="9"/>
    </row>
    <row r="56" spans="2:23" x14ac:dyDescent="0.3">
      <c r="B56" s="16" t="s">
        <v>76</v>
      </c>
      <c r="C56" s="15" t="s">
        <v>130</v>
      </c>
      <c r="D56" s="9"/>
      <c r="E56" s="9"/>
      <c r="F56" s="9"/>
      <c r="G56" s="9"/>
      <c r="H56" s="9"/>
      <c r="I56" s="9"/>
      <c r="J56" s="9"/>
      <c r="K56" s="9"/>
      <c r="L56" s="9"/>
      <c r="M56" s="9"/>
      <c r="N56" s="8"/>
      <c r="O56" s="8"/>
      <c r="P56" s="8"/>
      <c r="Q56" s="8"/>
      <c r="R56" s="8"/>
      <c r="S56" s="8"/>
      <c r="T56" s="8"/>
      <c r="U56" s="8"/>
      <c r="V56" s="8"/>
      <c r="W56" s="9"/>
    </row>
    <row r="57" spans="2:23" x14ac:dyDescent="0.3">
      <c r="B57" s="17"/>
      <c r="C57" s="17"/>
      <c r="D57" s="17"/>
      <c r="E57" s="17"/>
      <c r="F57" s="17"/>
      <c r="G57" s="17"/>
      <c r="H57" s="17"/>
      <c r="I57" s="17"/>
      <c r="J57" s="17"/>
      <c r="K57" s="17"/>
      <c r="L57" s="17"/>
      <c r="M57" s="17"/>
      <c r="N57" s="17"/>
      <c r="O57" s="17"/>
      <c r="P57" s="17"/>
      <c r="Q57" s="17"/>
      <c r="R57" s="17"/>
      <c r="S57" s="17"/>
      <c r="T57" s="17"/>
      <c r="U57" s="17"/>
      <c r="V57" s="17"/>
      <c r="W57" s="17"/>
    </row>
    <row r="59" spans="2:23" x14ac:dyDescent="0.3">
      <c r="B59" s="12"/>
    </row>
    <row r="60" spans="2:23" x14ac:dyDescent="0.3">
      <c r="B60" s="12"/>
    </row>
    <row r="61" spans="2:23" x14ac:dyDescent="0.3">
      <c r="B61" s="18"/>
    </row>
    <row r="63" spans="2:23" x14ac:dyDescent="0.3">
      <c r="B63" s="19"/>
    </row>
    <row r="64" spans="2:23" x14ac:dyDescent="0.3">
      <c r="B64" s="19"/>
    </row>
    <row r="65" spans="2:2" x14ac:dyDescent="0.3">
      <c r="B65" s="19"/>
    </row>
    <row r="66" spans="2:2" x14ac:dyDescent="0.3">
      <c r="B66" s="19"/>
    </row>
    <row r="67" spans="2:2" x14ac:dyDescent="0.3">
      <c r="B67" s="19"/>
    </row>
    <row r="68" spans="2:2" x14ac:dyDescent="0.3">
      <c r="B68" s="19"/>
    </row>
    <row r="69" spans="2:2" x14ac:dyDescent="0.3">
      <c r="B69" s="19"/>
    </row>
    <row r="70" spans="2:2" x14ac:dyDescent="0.3">
      <c r="B70" s="19"/>
    </row>
    <row r="71" spans="2:2" x14ac:dyDescent="0.3">
      <c r="B71" s="19"/>
    </row>
    <row r="72" spans="2:2" x14ac:dyDescent="0.3">
      <c r="B72" s="19"/>
    </row>
    <row r="73" spans="2:2" x14ac:dyDescent="0.3">
      <c r="B73" s="19"/>
    </row>
    <row r="74" spans="2:2" x14ac:dyDescent="0.3">
      <c r="B74" s="19"/>
    </row>
    <row r="75" spans="2:2" x14ac:dyDescent="0.3">
      <c r="B75" s="19"/>
    </row>
    <row r="76" spans="2:2" x14ac:dyDescent="0.3">
      <c r="B76" s="19"/>
    </row>
    <row r="77" spans="2:2" x14ac:dyDescent="0.3">
      <c r="B77" s="19"/>
    </row>
    <row r="78" spans="2:2" x14ac:dyDescent="0.3">
      <c r="B78" s="19"/>
    </row>
    <row r="79" spans="2:2" x14ac:dyDescent="0.3">
      <c r="B79" s="19"/>
    </row>
    <row r="80" spans="2:2" x14ac:dyDescent="0.3">
      <c r="B80" s="19"/>
    </row>
    <row r="81" spans="2:2" x14ac:dyDescent="0.3">
      <c r="B81" s="19"/>
    </row>
    <row r="82" spans="2:2" x14ac:dyDescent="0.3">
      <c r="B82" s="19"/>
    </row>
    <row r="83" spans="2:2" x14ac:dyDescent="0.3">
      <c r="B83" s="19"/>
    </row>
    <row r="84" spans="2:2" x14ac:dyDescent="0.3">
      <c r="B84" s="19"/>
    </row>
    <row r="85" spans="2:2" x14ac:dyDescent="0.3">
      <c r="B85" s="19"/>
    </row>
    <row r="86" spans="2:2" x14ac:dyDescent="0.3">
      <c r="B86" s="19"/>
    </row>
    <row r="87" spans="2:2" x14ac:dyDescent="0.3">
      <c r="B87" s="19"/>
    </row>
    <row r="88" spans="2:2" x14ac:dyDescent="0.3">
      <c r="B88" s="19"/>
    </row>
    <row r="89" spans="2:2" x14ac:dyDescent="0.3">
      <c r="B89" s="19"/>
    </row>
    <row r="90" spans="2:2" x14ac:dyDescent="0.3">
      <c r="B90" s="19"/>
    </row>
    <row r="91" spans="2:2" x14ac:dyDescent="0.3">
      <c r="B91" s="19"/>
    </row>
    <row r="92" spans="2:2" x14ac:dyDescent="0.3">
      <c r="B92" s="19"/>
    </row>
    <row r="93" spans="2:2" x14ac:dyDescent="0.3">
      <c r="B93" s="20"/>
    </row>
    <row r="94" spans="2:2" x14ac:dyDescent="0.3">
      <c r="B94" s="19"/>
    </row>
  </sheetData>
  <mergeCells count="88">
    <mergeCell ref="C5:E5"/>
    <mergeCell ref="C6:E6"/>
    <mergeCell ref="S45:S46"/>
    <mergeCell ref="T45:T46"/>
    <mergeCell ref="U45:U46"/>
    <mergeCell ref="R38:R39"/>
    <mergeCell ref="S38:S39"/>
    <mergeCell ref="T38:T39"/>
    <mergeCell ref="U38:U39"/>
    <mergeCell ref="L31:M31"/>
    <mergeCell ref="N31:O31"/>
    <mergeCell ref="L32:M32"/>
    <mergeCell ref="N32:O32"/>
    <mergeCell ref="L33:M33"/>
    <mergeCell ref="N33:O33"/>
    <mergeCell ref="L29:N29"/>
    <mergeCell ref="V45:V46"/>
    <mergeCell ref="W45:W46"/>
    <mergeCell ref="N45:N46"/>
    <mergeCell ref="O45:O46"/>
    <mergeCell ref="P45:P46"/>
    <mergeCell ref="Q45:Q46"/>
    <mergeCell ref="R45:R46"/>
    <mergeCell ref="V38:V39"/>
    <mergeCell ref="W38:W39"/>
    <mergeCell ref="N34:O34"/>
    <mergeCell ref="M38:M39"/>
    <mergeCell ref="N38:N39"/>
    <mergeCell ref="O38:O39"/>
    <mergeCell ref="P38:P39"/>
    <mergeCell ref="Q38:Q39"/>
    <mergeCell ref="O29:X29"/>
    <mergeCell ref="L30:M30"/>
    <mergeCell ref="N30:X30"/>
    <mergeCell ref="L18:M18"/>
    <mergeCell ref="N18:O18"/>
    <mergeCell ref="L26:M26"/>
    <mergeCell ref="N26:X26"/>
    <mergeCell ref="L27:M27"/>
    <mergeCell ref="N27:X27"/>
    <mergeCell ref="L28:M28"/>
    <mergeCell ref="N28:X28"/>
    <mergeCell ref="L25:M25"/>
    <mergeCell ref="N25:X25"/>
    <mergeCell ref="L22:N22"/>
    <mergeCell ref="O22:X22"/>
    <mergeCell ref="L23:M23"/>
    <mergeCell ref="N23:X23"/>
    <mergeCell ref="N24:X24"/>
    <mergeCell ref="L14:M14"/>
    <mergeCell ref="N14:X14"/>
    <mergeCell ref="L15:M15"/>
    <mergeCell ref="N15:X15"/>
    <mergeCell ref="L16:M16"/>
    <mergeCell ref="N16:X16"/>
    <mergeCell ref="L17:M17"/>
    <mergeCell ref="N17:X17"/>
    <mergeCell ref="L19:N19"/>
    <mergeCell ref="O19:X19"/>
    <mergeCell ref="L20:L21"/>
    <mergeCell ref="M20:X20"/>
    <mergeCell ref="M21:X21"/>
    <mergeCell ref="L11:M11"/>
    <mergeCell ref="N11:X11"/>
    <mergeCell ref="L12:M12"/>
    <mergeCell ref="N12:X12"/>
    <mergeCell ref="L13:M13"/>
    <mergeCell ref="N13:X13"/>
    <mergeCell ref="L10:M10"/>
    <mergeCell ref="N10:X10"/>
    <mergeCell ref="L4:M4"/>
    <mergeCell ref="N4:X4"/>
    <mergeCell ref="L5:M5"/>
    <mergeCell ref="N5:X5"/>
    <mergeCell ref="L6:M6"/>
    <mergeCell ref="N6:X6"/>
    <mergeCell ref="N7:X7"/>
    <mergeCell ref="L8:M8"/>
    <mergeCell ref="N8:X8"/>
    <mergeCell ref="L9:M9"/>
    <mergeCell ref="N9:X9"/>
    <mergeCell ref="C2:K2"/>
    <mergeCell ref="L2:M2"/>
    <mergeCell ref="N2:X2"/>
    <mergeCell ref="F3:G3"/>
    <mergeCell ref="H3:I3"/>
    <mergeCell ref="L3:M3"/>
    <mergeCell ref="N3:X3"/>
  </mergeCells>
  <conditionalFormatting sqref="C54">
    <cfRule type="duplicateValues" dxfId="3" priority="4"/>
  </conditionalFormatting>
  <conditionalFormatting sqref="C55">
    <cfRule type="duplicateValues" dxfId="2" priority="1"/>
  </conditionalFormatting>
  <hyperlinks>
    <hyperlink ref="C53" r:id="rId1" display="https://www.irena.org/-/media/Files/IRENA/Agency/Events/2017/Mar/15/2017_Kairies_Battery_Cost_and_Performance_01.pdf"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6"/>
  <sheetViews>
    <sheetView zoomScale="90" zoomScaleNormal="90" workbookViewId="0">
      <pane xSplit="1" ySplit="2" topLeftCell="B3" activePane="bottomRight" state="frozen"/>
      <selection pane="topRight" activeCell="B1" sqref="B1"/>
      <selection pane="bottomLeft" activeCell="A3" sqref="A3"/>
      <selection pane="bottomRight" activeCell="F9" sqref="F9"/>
    </sheetView>
  </sheetViews>
  <sheetFormatPr baseColWidth="10" defaultColWidth="11.42578125" defaultRowHeight="18" x14ac:dyDescent="0.35"/>
  <cols>
    <col min="1" max="1" width="67.28515625" style="20" customWidth="1"/>
    <col min="2" max="2" width="8" style="21" customWidth="1"/>
    <col min="3" max="4" width="9.85546875" style="21" customWidth="1"/>
    <col min="5" max="5" width="10.140625" style="21" customWidth="1"/>
    <col min="6" max="6" width="9.85546875" style="21" customWidth="1"/>
    <col min="7" max="7" width="13.5703125" style="21" customWidth="1"/>
    <col min="8" max="8" width="9.85546875" style="21" customWidth="1"/>
    <col min="9" max="9" width="13.5703125" style="21" customWidth="1"/>
    <col min="10" max="10" width="12.5703125" style="21" customWidth="1"/>
    <col min="11" max="11" width="64.5703125" style="45" customWidth="1"/>
    <col min="12" max="14" width="9.28515625" style="5" customWidth="1"/>
    <col min="15" max="15" width="26.5703125" style="5" customWidth="1"/>
    <col min="16" max="16" width="9.85546875" style="21" customWidth="1"/>
    <col min="17" max="16384" width="11.42578125" style="21"/>
  </cols>
  <sheetData>
    <row r="1" spans="1:16" ht="108" x14ac:dyDescent="0.35">
      <c r="G1" s="22" t="s">
        <v>63</v>
      </c>
      <c r="I1" s="22" t="s">
        <v>64</v>
      </c>
      <c r="K1" s="84" t="s">
        <v>126</v>
      </c>
      <c r="L1" s="68" t="s">
        <v>153</v>
      </c>
      <c r="M1" s="68"/>
      <c r="N1" s="68"/>
      <c r="O1" s="68" t="s">
        <v>127</v>
      </c>
      <c r="P1" s="23"/>
    </row>
    <row r="2" spans="1:16" ht="36" x14ac:dyDescent="0.35">
      <c r="A2" s="24" t="s">
        <v>65</v>
      </c>
      <c r="B2" s="22" t="s">
        <v>97</v>
      </c>
      <c r="C2" s="22">
        <v>2016</v>
      </c>
      <c r="D2" s="22">
        <v>2020</v>
      </c>
      <c r="E2" s="22">
        <v>2025</v>
      </c>
      <c r="F2" s="22">
        <v>2030</v>
      </c>
      <c r="G2" s="25" t="s">
        <v>66</v>
      </c>
      <c r="H2" s="22">
        <v>2050</v>
      </c>
      <c r="I2" s="25" t="s">
        <v>67</v>
      </c>
      <c r="J2" s="22" t="s">
        <v>68</v>
      </c>
      <c r="K2" s="84"/>
      <c r="L2" s="26">
        <v>2020</v>
      </c>
      <c r="M2" s="26">
        <v>2030</v>
      </c>
      <c r="N2" s="27">
        <v>2050</v>
      </c>
      <c r="O2" s="68"/>
      <c r="P2" s="28" t="s">
        <v>78</v>
      </c>
    </row>
    <row r="3" spans="1:16" ht="16.149999999999999" customHeight="1" x14ac:dyDescent="0.35">
      <c r="A3" s="24" t="s">
        <v>134</v>
      </c>
      <c r="B3" s="26" t="s">
        <v>98</v>
      </c>
      <c r="C3" s="8">
        <v>30</v>
      </c>
      <c r="D3" s="8">
        <f>C3</f>
        <v>30</v>
      </c>
      <c r="E3" s="8"/>
      <c r="F3" s="8">
        <f>D3</f>
        <v>30</v>
      </c>
      <c r="G3" s="29"/>
      <c r="H3" s="8">
        <f>F3</f>
        <v>30</v>
      </c>
      <c r="I3" s="29"/>
      <c r="J3" s="75" t="s">
        <v>13</v>
      </c>
      <c r="K3" s="75" t="s">
        <v>177</v>
      </c>
      <c r="L3" s="30"/>
      <c r="M3" s="31"/>
      <c r="N3" s="31"/>
      <c r="O3" s="83" t="s">
        <v>128</v>
      </c>
    </row>
    <row r="4" spans="1:16" ht="16.149999999999999" customHeight="1" x14ac:dyDescent="0.35">
      <c r="A4" s="24" t="s">
        <v>135</v>
      </c>
      <c r="B4" s="26" t="s">
        <v>99</v>
      </c>
      <c r="C4" s="8">
        <v>15</v>
      </c>
      <c r="D4" s="8">
        <f t="shared" ref="D4:D5" si="0">C4</f>
        <v>15</v>
      </c>
      <c r="E4" s="8"/>
      <c r="F4" s="8">
        <f t="shared" ref="F4:F5" si="1">D4</f>
        <v>15</v>
      </c>
      <c r="G4" s="29"/>
      <c r="H4" s="8">
        <f t="shared" ref="H4:H5" si="2">F4</f>
        <v>15</v>
      </c>
      <c r="I4" s="29"/>
      <c r="J4" s="75"/>
      <c r="K4" s="75"/>
      <c r="L4" s="30"/>
      <c r="M4" s="31"/>
      <c r="N4" s="31"/>
      <c r="O4" s="83"/>
      <c r="P4" s="32">
        <f>D4/D3</f>
        <v>0.5</v>
      </c>
    </row>
    <row r="5" spans="1:16" ht="16.149999999999999" customHeight="1" x14ac:dyDescent="0.35">
      <c r="A5" s="24" t="s">
        <v>136</v>
      </c>
      <c r="B5" s="26" t="s">
        <v>100</v>
      </c>
      <c r="C5" s="8">
        <v>15</v>
      </c>
      <c r="D5" s="8">
        <f t="shared" si="0"/>
        <v>15</v>
      </c>
      <c r="E5" s="8"/>
      <c r="F5" s="8">
        <f t="shared" si="1"/>
        <v>15</v>
      </c>
      <c r="G5" s="29"/>
      <c r="H5" s="8">
        <f t="shared" si="2"/>
        <v>15</v>
      </c>
      <c r="I5" s="29"/>
      <c r="J5" s="75"/>
      <c r="K5" s="75"/>
      <c r="L5" s="30"/>
      <c r="M5" s="31"/>
      <c r="N5" s="31"/>
      <c r="O5" s="83"/>
      <c r="P5" s="32">
        <f>D5/D3</f>
        <v>0.5</v>
      </c>
    </row>
    <row r="6" spans="1:16" ht="75" x14ac:dyDescent="0.35">
      <c r="A6" s="24" t="s">
        <v>137</v>
      </c>
      <c r="B6" s="26" t="s">
        <v>101</v>
      </c>
      <c r="C6" s="8"/>
      <c r="D6" s="8">
        <v>83</v>
      </c>
      <c r="E6" s="8"/>
      <c r="F6" s="8">
        <v>85</v>
      </c>
      <c r="G6" s="33">
        <f>(F6-D6)/D6</f>
        <v>2.4096385542168676E-2</v>
      </c>
      <c r="H6" s="34">
        <v>85</v>
      </c>
      <c r="I6" s="29">
        <f>(H6-F6)/F6</f>
        <v>0</v>
      </c>
      <c r="J6" s="8" t="s">
        <v>20</v>
      </c>
      <c r="K6" s="8" t="s">
        <v>175</v>
      </c>
      <c r="L6" s="34">
        <v>81.400000000000006</v>
      </c>
      <c r="M6" s="35">
        <f>L6*(1+G6)</f>
        <v>83.361445783132538</v>
      </c>
      <c r="N6" s="35">
        <f>M6*(1+I6)</f>
        <v>83.361445783132538</v>
      </c>
      <c r="O6" s="83"/>
    </row>
    <row r="7" spans="1:16" x14ac:dyDescent="0.35">
      <c r="A7" s="24" t="s">
        <v>138</v>
      </c>
      <c r="B7" s="26" t="s">
        <v>102</v>
      </c>
      <c r="C7" s="8"/>
      <c r="D7" s="34">
        <f>POWER(L6/100,0.5)*100</f>
        <v>90.221948549119688</v>
      </c>
      <c r="E7" s="8"/>
      <c r="F7" s="34">
        <f>POWER(M6/100,0.5)*100</f>
        <v>91.302489442036872</v>
      </c>
      <c r="G7" s="8"/>
      <c r="H7" s="34">
        <f>POWER(N6/100,0.5)*100</f>
        <v>91.302489442036872</v>
      </c>
      <c r="I7" s="8"/>
      <c r="K7" s="82" t="s">
        <v>176</v>
      </c>
      <c r="L7" s="36"/>
      <c r="M7" s="36"/>
      <c r="N7" s="36"/>
      <c r="O7" s="36"/>
    </row>
    <row r="8" spans="1:16" x14ac:dyDescent="0.35">
      <c r="A8" s="24" t="s">
        <v>139</v>
      </c>
      <c r="B8" s="26" t="s">
        <v>103</v>
      </c>
      <c r="C8" s="8"/>
      <c r="D8" s="34">
        <f>POWER(L6/100,0.5)*100</f>
        <v>90.221948549119688</v>
      </c>
      <c r="E8" s="8"/>
      <c r="F8" s="34">
        <f>POWER(M6/100,0.5)*100</f>
        <v>91.302489442036872</v>
      </c>
      <c r="G8" s="8"/>
      <c r="H8" s="34">
        <f>POWER(N6/100,0.5)*100</f>
        <v>91.302489442036872</v>
      </c>
      <c r="I8" s="37"/>
      <c r="J8" s="8"/>
      <c r="K8" s="82"/>
      <c r="L8" s="36"/>
      <c r="M8" s="36"/>
      <c r="N8" s="36"/>
      <c r="O8" s="36"/>
    </row>
    <row r="9" spans="1:16" ht="75" x14ac:dyDescent="0.35">
      <c r="A9" s="24" t="s">
        <v>140</v>
      </c>
      <c r="B9" s="26" t="s">
        <v>104</v>
      </c>
      <c r="C9" s="8">
        <v>0.1</v>
      </c>
      <c r="D9" s="8">
        <v>0.1</v>
      </c>
      <c r="E9" s="8">
        <v>0.1</v>
      </c>
      <c r="F9" s="8">
        <v>0.1</v>
      </c>
      <c r="G9" s="8"/>
      <c r="H9" s="30">
        <v>0.1</v>
      </c>
      <c r="I9" s="30"/>
      <c r="J9" s="8" t="s">
        <v>13</v>
      </c>
      <c r="K9" s="8" t="s">
        <v>178</v>
      </c>
      <c r="L9" s="8"/>
      <c r="M9" s="8"/>
    </row>
    <row r="10" spans="1:16" ht="15" customHeight="1" x14ac:dyDescent="0.35">
      <c r="A10" s="24" t="s">
        <v>141</v>
      </c>
      <c r="B10" s="26" t="s">
        <v>105</v>
      </c>
      <c r="C10" s="8"/>
      <c r="D10" s="30">
        <v>0</v>
      </c>
      <c r="E10" s="30"/>
      <c r="F10" s="30">
        <v>0</v>
      </c>
      <c r="G10" s="30"/>
      <c r="H10" s="30">
        <v>0</v>
      </c>
      <c r="I10" s="34"/>
      <c r="J10" s="75" t="s">
        <v>20</v>
      </c>
      <c r="K10" s="75" t="s">
        <v>179</v>
      </c>
      <c r="L10" s="8"/>
      <c r="M10" s="8"/>
    </row>
    <row r="11" spans="1:16" x14ac:dyDescent="0.35">
      <c r="A11" s="24" t="s">
        <v>142</v>
      </c>
      <c r="B11" s="26" t="s">
        <v>106</v>
      </c>
      <c r="C11" s="8"/>
      <c r="D11" s="30">
        <v>0</v>
      </c>
      <c r="E11" s="30"/>
      <c r="F11" s="30">
        <v>0</v>
      </c>
      <c r="G11" s="30"/>
      <c r="H11" s="30">
        <v>0</v>
      </c>
      <c r="I11" s="37"/>
      <c r="J11" s="75"/>
      <c r="K11" s="75"/>
      <c r="L11" s="8"/>
      <c r="M11" s="8"/>
    </row>
    <row r="12" spans="1:16" ht="105" x14ac:dyDescent="0.35">
      <c r="A12" s="24" t="s">
        <v>143</v>
      </c>
      <c r="B12" s="26" t="s">
        <v>107</v>
      </c>
      <c r="C12" s="8"/>
      <c r="D12" s="8">
        <v>19</v>
      </c>
      <c r="E12" s="8"/>
      <c r="F12" s="34">
        <v>24</v>
      </c>
      <c r="G12" s="33">
        <f>(F12-D12)/D12</f>
        <v>0.26315789473684209</v>
      </c>
      <c r="H12" s="34">
        <v>24</v>
      </c>
      <c r="I12" s="33">
        <f>(H12-F12)/F12</f>
        <v>0</v>
      </c>
      <c r="J12" s="75" t="s">
        <v>20</v>
      </c>
      <c r="K12" s="8" t="s">
        <v>180</v>
      </c>
      <c r="L12" s="8">
        <v>19</v>
      </c>
      <c r="M12" s="31">
        <f>L12*(1+G12)</f>
        <v>24</v>
      </c>
      <c r="N12" s="31">
        <f>M12*(1+I12)</f>
        <v>24</v>
      </c>
      <c r="O12" s="30" t="s">
        <v>128</v>
      </c>
    </row>
    <row r="13" spans="1:16" x14ac:dyDescent="0.35">
      <c r="A13" s="24" t="s">
        <v>144</v>
      </c>
      <c r="B13" s="26" t="s">
        <v>108</v>
      </c>
      <c r="C13" s="8"/>
      <c r="D13" s="8">
        <v>0.5</v>
      </c>
      <c r="E13" s="8"/>
      <c r="F13" s="8">
        <v>0.5</v>
      </c>
      <c r="G13" s="8"/>
      <c r="H13" s="30">
        <v>0.5</v>
      </c>
      <c r="I13" s="34"/>
      <c r="J13" s="75"/>
      <c r="K13" s="82" t="s">
        <v>179</v>
      </c>
      <c r="L13" s="8"/>
      <c r="M13" s="8"/>
    </row>
    <row r="14" spans="1:16" x14ac:dyDescent="0.35">
      <c r="A14" s="24" t="s">
        <v>145</v>
      </c>
      <c r="B14" s="26" t="s">
        <v>109</v>
      </c>
      <c r="C14" s="8"/>
      <c r="D14" s="8">
        <v>1E-3</v>
      </c>
      <c r="E14" s="8"/>
      <c r="F14" s="8">
        <v>1E-3</v>
      </c>
      <c r="G14" s="8"/>
      <c r="H14" s="8">
        <v>1E-3</v>
      </c>
      <c r="I14" s="38"/>
      <c r="J14" s="75"/>
      <c r="K14" s="82"/>
      <c r="L14" s="8"/>
      <c r="M14" s="8"/>
    </row>
    <row r="15" spans="1:16" ht="30" x14ac:dyDescent="0.35">
      <c r="A15" s="24" t="s">
        <v>146</v>
      </c>
      <c r="B15" s="26" t="s">
        <v>110</v>
      </c>
      <c r="C15" s="8"/>
      <c r="D15" s="8">
        <v>0.05</v>
      </c>
      <c r="E15" s="8"/>
      <c r="F15" s="8">
        <v>0.05</v>
      </c>
      <c r="G15" s="8"/>
      <c r="H15" s="8">
        <v>0.05</v>
      </c>
      <c r="I15" s="38"/>
      <c r="J15" s="75"/>
      <c r="K15" s="82"/>
      <c r="L15" s="8"/>
      <c r="M15" s="8"/>
    </row>
    <row r="16" spans="1:16" ht="60" x14ac:dyDescent="0.35">
      <c r="A16" s="24" t="s">
        <v>147</v>
      </c>
      <c r="B16" s="26" t="s">
        <v>111</v>
      </c>
      <c r="C16" s="8"/>
      <c r="D16" s="38">
        <f>((D17+D19)*D3+D18*D4)/D3</f>
        <v>0.38330000000000003</v>
      </c>
      <c r="E16" s="8"/>
      <c r="F16" s="38">
        <f>((F17+F19)*F3+F18*F4)/F3</f>
        <v>0.21725</v>
      </c>
      <c r="G16" s="33"/>
      <c r="H16" s="38">
        <f>((H17+H19)*H3+H18*H4)/H3</f>
        <v>8.9125528619242958E-2</v>
      </c>
      <c r="I16" s="33"/>
      <c r="J16" s="17"/>
      <c r="K16" s="8" t="s">
        <v>181</v>
      </c>
      <c r="L16" s="8"/>
      <c r="M16" s="31"/>
      <c r="N16" s="31"/>
      <c r="O16" s="31"/>
    </row>
    <row r="17" spans="1:16" ht="16.149999999999999" customHeight="1" x14ac:dyDescent="0.35">
      <c r="A17" s="24" t="s">
        <v>148</v>
      </c>
      <c r="B17" s="26" t="s">
        <v>112</v>
      </c>
      <c r="C17" s="8">
        <v>0.36749999999999999</v>
      </c>
      <c r="D17" s="8">
        <v>0.2908</v>
      </c>
      <c r="E17" s="8">
        <v>0.217</v>
      </c>
      <c r="F17" s="8">
        <v>0.16200000000000001</v>
      </c>
      <c r="G17" s="33"/>
      <c r="H17" s="38">
        <f>6.2425550675907E+50*EXP(-0.058513*H2)</f>
        <v>5.0236883762580883E-2</v>
      </c>
      <c r="I17" s="33"/>
      <c r="J17" s="75" t="s">
        <v>13</v>
      </c>
      <c r="K17" s="85" t="s">
        <v>154</v>
      </c>
      <c r="L17" s="8"/>
      <c r="M17" s="39"/>
      <c r="N17" s="39"/>
      <c r="O17" s="39"/>
    </row>
    <row r="18" spans="1:16" ht="16.149999999999999" customHeight="1" x14ac:dyDescent="0.35">
      <c r="A18" s="24" t="s">
        <v>149</v>
      </c>
      <c r="B18" s="26" t="s">
        <v>113</v>
      </c>
      <c r="C18" s="8">
        <v>0.105</v>
      </c>
      <c r="D18" s="38">
        <f>NaS!C25</f>
        <v>8.5000000000000006E-2</v>
      </c>
      <c r="E18" s="8">
        <v>6.5600000000000006E-2</v>
      </c>
      <c r="F18" s="38">
        <f>NaS!D25</f>
        <v>5.0500000000000003E-2</v>
      </c>
      <c r="G18" s="33"/>
      <c r="H18" s="38">
        <f>5.5944353330417E+44*EXP(-0.052227*H2)</f>
        <v>1.7777289713324144E-2</v>
      </c>
      <c r="I18" s="33"/>
      <c r="J18" s="75"/>
      <c r="K18" s="85"/>
      <c r="L18" s="8"/>
      <c r="M18" s="39"/>
      <c r="N18" s="39"/>
      <c r="O18" s="39"/>
    </row>
    <row r="19" spans="1:16" ht="105" x14ac:dyDescent="0.35">
      <c r="A19" s="24" t="s">
        <v>150</v>
      </c>
      <c r="B19" s="26" t="s">
        <v>114</v>
      </c>
      <c r="C19" s="8"/>
      <c r="D19" s="8">
        <v>0.05</v>
      </c>
      <c r="E19" s="8"/>
      <c r="F19" s="38">
        <v>0.03</v>
      </c>
      <c r="G19" s="40">
        <f>(F19-D19)/D19</f>
        <v>-0.40000000000000008</v>
      </c>
      <c r="H19" s="38">
        <v>0.03</v>
      </c>
      <c r="I19" s="40">
        <f t="shared" ref="I19:I21" si="3">(H19-F19)/F19</f>
        <v>0</v>
      </c>
      <c r="J19" s="75" t="s">
        <v>20</v>
      </c>
      <c r="K19" s="8" t="s">
        <v>179</v>
      </c>
      <c r="L19" s="8">
        <v>0.05</v>
      </c>
      <c r="M19" s="41">
        <f>L19*(1+G19)</f>
        <v>2.9999999999999995E-2</v>
      </c>
      <c r="N19" s="41">
        <f>M19*(1+I19)</f>
        <v>2.9999999999999995E-2</v>
      </c>
      <c r="O19" s="37" t="s">
        <v>128</v>
      </c>
    </row>
    <row r="20" spans="1:16" ht="16.149999999999999" customHeight="1" x14ac:dyDescent="0.35">
      <c r="A20" s="24" t="s">
        <v>151</v>
      </c>
      <c r="B20" s="26" t="s">
        <v>115</v>
      </c>
      <c r="C20" s="8"/>
      <c r="D20" s="8">
        <v>1.67</v>
      </c>
      <c r="E20" s="8"/>
      <c r="F20" s="8">
        <v>1.67</v>
      </c>
      <c r="G20" s="40">
        <f>(F20-D20)/D20</f>
        <v>0</v>
      </c>
      <c r="H20" s="37">
        <v>1.67</v>
      </c>
      <c r="I20" s="40">
        <f t="shared" si="3"/>
        <v>0</v>
      </c>
      <c r="J20" s="75"/>
      <c r="K20" s="75" t="s">
        <v>182</v>
      </c>
      <c r="L20" s="8">
        <v>4</v>
      </c>
      <c r="M20" s="41">
        <f>L20*(1+G20)</f>
        <v>4</v>
      </c>
      <c r="N20" s="41">
        <f>M20*(1+I20)</f>
        <v>4</v>
      </c>
      <c r="O20" s="39"/>
    </row>
    <row r="21" spans="1:16" ht="16.149999999999999" customHeight="1" x14ac:dyDescent="0.35">
      <c r="A21" s="24" t="s">
        <v>152</v>
      </c>
      <c r="B21" s="26" t="s">
        <v>116</v>
      </c>
      <c r="C21" s="36"/>
      <c r="D21" s="37">
        <v>2</v>
      </c>
      <c r="E21" s="36"/>
      <c r="F21" s="37">
        <v>2</v>
      </c>
      <c r="G21" s="40">
        <f>(F21-D21)/D21</f>
        <v>0</v>
      </c>
      <c r="H21" s="37">
        <v>2</v>
      </c>
      <c r="I21" s="40">
        <f t="shared" si="3"/>
        <v>0</v>
      </c>
      <c r="J21" s="75"/>
      <c r="K21" s="75"/>
      <c r="L21" s="8">
        <v>2</v>
      </c>
      <c r="M21" s="41">
        <f>L21*(1+G21)</f>
        <v>2</v>
      </c>
      <c r="N21" s="41">
        <f>M21*(1+I21)</f>
        <v>2</v>
      </c>
      <c r="O21" s="39"/>
    </row>
    <row r="22" spans="1:16" ht="60" x14ac:dyDescent="0.35">
      <c r="A22" s="24" t="s">
        <v>131</v>
      </c>
      <c r="B22" s="26" t="s">
        <v>117</v>
      </c>
      <c r="C22" s="8"/>
      <c r="D22" s="38">
        <f>((D17+D19)*D3+D18*D4)/D4</f>
        <v>0.76660000000000006</v>
      </c>
      <c r="E22" s="8"/>
      <c r="F22" s="38">
        <f>((F17+F19)*F3+F18*F4)/F4</f>
        <v>0.4345</v>
      </c>
      <c r="G22" s="8"/>
      <c r="H22" s="38">
        <f>((H17+H19)*H3+H18*H4)/H4</f>
        <v>0.17825105723848592</v>
      </c>
      <c r="I22" s="37"/>
      <c r="J22" s="8" t="s">
        <v>13</v>
      </c>
      <c r="K22" s="8" t="s">
        <v>183</v>
      </c>
      <c r="L22" s="8"/>
      <c r="M22" s="8"/>
    </row>
    <row r="23" spans="1:16" ht="30" x14ac:dyDescent="0.35">
      <c r="A23" s="24" t="s">
        <v>69</v>
      </c>
      <c r="B23" s="26" t="s">
        <v>118</v>
      </c>
      <c r="C23" s="8"/>
      <c r="D23" s="8">
        <v>5600</v>
      </c>
      <c r="E23" s="8"/>
      <c r="F23" s="8">
        <v>7500</v>
      </c>
      <c r="G23" s="33"/>
      <c r="H23" s="37">
        <v>7500</v>
      </c>
      <c r="I23" s="33"/>
      <c r="J23" s="75" t="s">
        <v>20</v>
      </c>
      <c r="K23" s="8" t="s">
        <v>179</v>
      </c>
      <c r="L23" s="8"/>
      <c r="M23" s="35"/>
      <c r="N23" s="35"/>
      <c r="O23" s="38"/>
      <c r="P23" s="42"/>
    </row>
    <row r="24" spans="1:16" ht="40.5" x14ac:dyDescent="0.35">
      <c r="A24" s="24" t="s">
        <v>132</v>
      </c>
      <c r="B24" s="26" t="s">
        <v>119</v>
      </c>
      <c r="C24" s="8"/>
      <c r="D24" s="8">
        <f>D26/(D3/D4)</f>
        <v>28</v>
      </c>
      <c r="E24" s="8"/>
      <c r="F24" s="8">
        <f>F26/(F3/F4)</f>
        <v>28</v>
      </c>
      <c r="G24" s="33"/>
      <c r="H24" s="8">
        <f>H26/(H3/H4)</f>
        <v>28</v>
      </c>
      <c r="I24" s="33"/>
      <c r="J24" s="75"/>
      <c r="K24" s="43" t="s">
        <v>184</v>
      </c>
      <c r="L24" s="8"/>
      <c r="M24" s="39"/>
      <c r="N24" s="39"/>
      <c r="O24" s="39"/>
    </row>
    <row r="25" spans="1:16" ht="40.5" x14ac:dyDescent="0.35">
      <c r="A25" s="24" t="s">
        <v>133</v>
      </c>
      <c r="B25" s="26" t="s">
        <v>120</v>
      </c>
      <c r="C25" s="8"/>
      <c r="D25" s="8">
        <f>D27/(D3/D4)</f>
        <v>13000</v>
      </c>
      <c r="E25" s="8"/>
      <c r="F25" s="8">
        <f>F27/(F3/F4)</f>
        <v>13000</v>
      </c>
      <c r="G25" s="33"/>
      <c r="H25" s="8">
        <f>H27/(H3/H4)</f>
        <v>13000</v>
      </c>
      <c r="I25" s="33"/>
      <c r="J25" s="75"/>
      <c r="K25" s="43" t="s">
        <v>185</v>
      </c>
      <c r="L25" s="8"/>
      <c r="M25" s="39"/>
      <c r="N25" s="39"/>
      <c r="O25" s="39"/>
    </row>
    <row r="26" spans="1:16" x14ac:dyDescent="0.35">
      <c r="A26" s="24" t="s">
        <v>70</v>
      </c>
      <c r="B26" s="26" t="s">
        <v>121</v>
      </c>
      <c r="C26" s="8"/>
      <c r="D26" s="8">
        <v>56</v>
      </c>
      <c r="E26" s="8"/>
      <c r="F26" s="8">
        <v>56</v>
      </c>
      <c r="G26" s="33"/>
      <c r="H26" s="8">
        <v>56</v>
      </c>
      <c r="I26" s="33"/>
      <c r="J26" s="75"/>
      <c r="K26" s="75" t="s">
        <v>179</v>
      </c>
      <c r="L26" s="8"/>
      <c r="M26" s="39"/>
      <c r="N26" s="39"/>
      <c r="O26" s="39"/>
    </row>
    <row r="27" spans="1:16" x14ac:dyDescent="0.35">
      <c r="A27" s="24" t="s">
        <v>71</v>
      </c>
      <c r="B27" s="26" t="s">
        <v>122</v>
      </c>
      <c r="C27" s="5"/>
      <c r="D27" s="8">
        <v>26000</v>
      </c>
      <c r="E27" s="5"/>
      <c r="F27" s="8">
        <v>26000</v>
      </c>
      <c r="G27" s="33"/>
      <c r="H27" s="8">
        <v>26000</v>
      </c>
      <c r="I27" s="33"/>
      <c r="J27" s="75"/>
      <c r="K27" s="75"/>
      <c r="L27" s="8"/>
      <c r="M27" s="39"/>
      <c r="N27" s="39"/>
      <c r="O27" s="39"/>
    </row>
    <row r="30" spans="1:16" s="5" customFormat="1" ht="15" x14ac:dyDescent="0.3">
      <c r="A30" s="16" t="s">
        <v>13</v>
      </c>
      <c r="B30" s="1" t="s">
        <v>56</v>
      </c>
      <c r="K30" s="44"/>
    </row>
    <row r="31" spans="1:16" s="5" customFormat="1" ht="15" x14ac:dyDescent="0.3">
      <c r="A31" s="16" t="s">
        <v>20</v>
      </c>
      <c r="B31" s="7" t="s">
        <v>57</v>
      </c>
      <c r="K31" s="44"/>
    </row>
    <row r="32" spans="1:16" s="5" customFormat="1" ht="15" x14ac:dyDescent="0.3">
      <c r="A32" s="16" t="s">
        <v>58</v>
      </c>
      <c r="B32" s="7" t="s">
        <v>59</v>
      </c>
      <c r="K32" s="44"/>
    </row>
    <row r="33" spans="1:11" s="5" customFormat="1" ht="15" x14ac:dyDescent="0.3">
      <c r="A33" s="16" t="s">
        <v>60</v>
      </c>
      <c r="B33" s="5" t="s">
        <v>61</v>
      </c>
      <c r="K33" s="44"/>
    </row>
    <row r="34" spans="1:11" s="5" customFormat="1" ht="15" x14ac:dyDescent="0.3">
      <c r="A34" s="16" t="s">
        <v>62</v>
      </c>
      <c r="B34" s="5" t="s">
        <v>129</v>
      </c>
      <c r="K34" s="44"/>
    </row>
    <row r="35" spans="1:11" s="5" customFormat="1" ht="15" x14ac:dyDescent="0.3">
      <c r="A35" s="16" t="s">
        <v>74</v>
      </c>
      <c r="B35" s="5" t="s">
        <v>88</v>
      </c>
      <c r="K35" s="44"/>
    </row>
    <row r="36" spans="1:11" s="5" customFormat="1" ht="15" x14ac:dyDescent="0.3">
      <c r="A36" s="16" t="s">
        <v>76</v>
      </c>
      <c r="B36" s="15" t="s">
        <v>130</v>
      </c>
      <c r="K36" s="44"/>
    </row>
  </sheetData>
  <mergeCells count="17">
    <mergeCell ref="J23:J27"/>
    <mergeCell ref="J17:J18"/>
    <mergeCell ref="J19:J21"/>
    <mergeCell ref="K17:K18"/>
    <mergeCell ref="K20:K21"/>
    <mergeCell ref="K26:K27"/>
    <mergeCell ref="J3:J5"/>
    <mergeCell ref="K7:K8"/>
    <mergeCell ref="J12:J15"/>
    <mergeCell ref="O3:O6"/>
    <mergeCell ref="O1:O2"/>
    <mergeCell ref="L1:N1"/>
    <mergeCell ref="K1:K2"/>
    <mergeCell ref="K3:K5"/>
    <mergeCell ref="J10:J11"/>
    <mergeCell ref="K10:K11"/>
    <mergeCell ref="K13:K15"/>
  </mergeCells>
  <conditionalFormatting sqref="B34">
    <cfRule type="duplicateValues" dxfId="1" priority="2"/>
  </conditionalFormatting>
  <conditionalFormatting sqref="B35">
    <cfRule type="duplicateValues" dxfId="0" priority="1"/>
  </conditionalFormatting>
  <hyperlinks>
    <hyperlink ref="B33" r:id="rId1" display="https://www.irena.org/-/media/Files/IRENA/Agency/Events/2017/Mar/15/2017_Kairies_Battery_Cost_and_Performance_01.pdf"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
  <sheetViews>
    <sheetView workbookViewId="0">
      <selection activeCell="M17" sqref="M17"/>
    </sheetView>
  </sheetViews>
  <sheetFormatPr baseColWidth="10" defaultColWidth="11.42578125" defaultRowHeight="18" x14ac:dyDescent="0.25"/>
  <cols>
    <col min="1" max="1" width="67.42578125" style="42" customWidth="1"/>
    <col min="2" max="8" width="9.85546875" style="42" customWidth="1"/>
    <col min="9" max="9" width="16.42578125" style="42" customWidth="1"/>
    <col min="10" max="10" width="9.85546875" style="42" customWidth="1"/>
    <col min="11" max="16" width="9.5703125" style="42" customWidth="1"/>
    <col min="17" max="17" width="10.42578125" style="42" hidden="1" customWidth="1"/>
    <col min="18" max="19" width="10.85546875" style="42" hidden="1" customWidth="1"/>
    <col min="20" max="20" width="9.5703125" style="42" hidden="1" customWidth="1"/>
    <col min="21" max="21" width="11.85546875" style="42" hidden="1" customWidth="1"/>
    <col min="22" max="22" width="11.42578125" style="42" hidden="1" customWidth="1"/>
    <col min="23" max="23" width="9.5703125" style="42" hidden="1" customWidth="1"/>
    <col min="24" max="24" width="11.28515625" style="42" hidden="1" customWidth="1"/>
    <col min="25" max="25" width="11.85546875" style="42" hidden="1" customWidth="1"/>
    <col min="26" max="26" width="35.42578125" style="42" customWidth="1"/>
    <col min="27" max="27" width="10.140625" style="42" customWidth="1"/>
    <col min="28" max="16384" width="11.42578125" style="42"/>
  </cols>
  <sheetData>
    <row r="1" spans="1:27" s="25" customFormat="1" ht="30" x14ac:dyDescent="0.25">
      <c r="A1" s="2"/>
      <c r="B1" s="2"/>
      <c r="C1" s="2"/>
      <c r="D1" s="2"/>
      <c r="E1" s="86" t="s">
        <v>79</v>
      </c>
      <c r="F1" s="86"/>
      <c r="G1" s="86" t="s">
        <v>80</v>
      </c>
      <c r="H1" s="86"/>
      <c r="I1" s="2"/>
      <c r="J1" s="86" t="s">
        <v>81</v>
      </c>
      <c r="K1" s="86"/>
      <c r="L1" s="86" t="s">
        <v>82</v>
      </c>
      <c r="M1" s="86"/>
      <c r="N1" s="86" t="s">
        <v>83</v>
      </c>
      <c r="O1" s="86"/>
      <c r="P1" s="2"/>
      <c r="Q1" s="6" t="s">
        <v>84</v>
      </c>
      <c r="R1" s="6" t="s">
        <v>85</v>
      </c>
      <c r="S1" s="6" t="s">
        <v>86</v>
      </c>
      <c r="T1" s="2"/>
      <c r="U1" s="2"/>
      <c r="V1" s="2"/>
      <c r="W1" s="2"/>
      <c r="X1" s="2"/>
      <c r="Y1" s="2"/>
      <c r="Z1" s="6" t="s">
        <v>123</v>
      </c>
    </row>
    <row r="2" spans="1:27" ht="30" customHeight="1" x14ac:dyDescent="0.25">
      <c r="A2" s="3" t="s">
        <v>65</v>
      </c>
      <c r="B2" s="6">
        <v>2020</v>
      </c>
      <c r="C2" s="6">
        <v>2030</v>
      </c>
      <c r="D2" s="6">
        <v>2050</v>
      </c>
      <c r="E2" s="2" t="s">
        <v>6</v>
      </c>
      <c r="F2" s="48" t="s">
        <v>7</v>
      </c>
      <c r="G2" s="48" t="s">
        <v>6</v>
      </c>
      <c r="H2" s="48" t="s">
        <v>7</v>
      </c>
      <c r="I2" s="2" t="s">
        <v>68</v>
      </c>
      <c r="J2" s="48" t="s">
        <v>6</v>
      </c>
      <c r="K2" s="48" t="s">
        <v>7</v>
      </c>
      <c r="L2" s="48" t="s">
        <v>6</v>
      </c>
      <c r="M2" s="48" t="s">
        <v>7</v>
      </c>
      <c r="N2" s="48" t="s">
        <v>6</v>
      </c>
      <c r="O2" s="48" t="s">
        <v>7</v>
      </c>
      <c r="P2" s="48"/>
      <c r="Q2" s="49">
        <v>2020</v>
      </c>
      <c r="R2" s="50">
        <f>J3</f>
        <v>-0.14457831325301204</v>
      </c>
      <c r="S2" s="50">
        <f>K3</f>
        <v>0.10843373493975904</v>
      </c>
      <c r="T2" s="49" t="s">
        <v>84</v>
      </c>
      <c r="U2" s="49" t="s">
        <v>85</v>
      </c>
      <c r="V2" s="49" t="s">
        <v>86</v>
      </c>
      <c r="W2" s="48"/>
      <c r="X2" s="48"/>
      <c r="Y2" s="48"/>
      <c r="Z2" s="87" t="s">
        <v>187</v>
      </c>
      <c r="AA2" s="25"/>
    </row>
    <row r="3" spans="1:27" x14ac:dyDescent="0.25">
      <c r="A3" s="3" t="s">
        <v>137</v>
      </c>
      <c r="B3" s="48">
        <v>83</v>
      </c>
      <c r="C3" s="48">
        <v>85</v>
      </c>
      <c r="D3" s="48">
        <v>85</v>
      </c>
      <c r="E3" s="48">
        <v>71</v>
      </c>
      <c r="F3" s="48">
        <v>92</v>
      </c>
      <c r="G3" s="48">
        <v>74</v>
      </c>
      <c r="H3" s="48">
        <v>96</v>
      </c>
      <c r="I3" s="101" t="s">
        <v>20</v>
      </c>
      <c r="J3" s="51">
        <f>(E3-$B$3)/$B$3</f>
        <v>-0.14457831325301204</v>
      </c>
      <c r="K3" s="51">
        <f>(F3-$B$3)/$B$3</f>
        <v>0.10843373493975904</v>
      </c>
      <c r="L3" s="50">
        <f>(0.000506*C2)-1.165793</f>
        <v>-0.13861299999999988</v>
      </c>
      <c r="M3" s="50">
        <f>(0.000699*C2)-1.304087</f>
        <v>0.11488299999999985</v>
      </c>
      <c r="N3" s="51">
        <f>(G3-$D$3)/$D$3</f>
        <v>-0.12941176470588237</v>
      </c>
      <c r="O3" s="51">
        <f>(H3-$D$3)/$D$3</f>
        <v>0.12941176470588237</v>
      </c>
      <c r="P3" s="48"/>
      <c r="Q3" s="49">
        <v>2050</v>
      </c>
      <c r="R3" s="50">
        <f>N3</f>
        <v>-0.12941176470588237</v>
      </c>
      <c r="S3" s="50">
        <f>O3</f>
        <v>0.12941176470588237</v>
      </c>
      <c r="T3" s="49">
        <v>2020</v>
      </c>
      <c r="U3" s="50">
        <f>J4</f>
        <v>-0.47368421052631576</v>
      </c>
      <c r="V3" s="50">
        <f>K4</f>
        <v>0.47368421052631576</v>
      </c>
      <c r="W3" s="49" t="s">
        <v>84</v>
      </c>
      <c r="X3" s="49" t="s">
        <v>85</v>
      </c>
      <c r="Y3" s="49" t="s">
        <v>86</v>
      </c>
      <c r="Z3" s="88"/>
      <c r="AA3" s="25"/>
    </row>
    <row r="4" spans="1:27" x14ac:dyDescent="0.25">
      <c r="A4" s="3" t="s">
        <v>143</v>
      </c>
      <c r="B4" s="48">
        <v>19</v>
      </c>
      <c r="C4" s="48">
        <v>24</v>
      </c>
      <c r="D4" s="48">
        <v>24</v>
      </c>
      <c r="E4" s="48">
        <v>10</v>
      </c>
      <c r="F4" s="48">
        <v>28</v>
      </c>
      <c r="G4" s="48">
        <v>14</v>
      </c>
      <c r="H4" s="48">
        <v>36</v>
      </c>
      <c r="I4" s="101"/>
      <c r="J4" s="51">
        <f>(E4-$B$4)/$B$4</f>
        <v>-0.47368421052631576</v>
      </c>
      <c r="K4" s="51">
        <f>(F4-$B$4)/$B$4</f>
        <v>0.47368421052631576</v>
      </c>
      <c r="L4" s="50">
        <f>(0.001901*C2)-4.312865</f>
        <v>-0.45383500000000065</v>
      </c>
      <c r="M4" s="50">
        <f>(0.000877*C2)-1.298246</f>
        <v>0.48206399999999983</v>
      </c>
      <c r="N4" s="51">
        <f>(G4-$D$4)/$D$4</f>
        <v>-0.41666666666666669</v>
      </c>
      <c r="O4" s="51">
        <f>(H4-$D$4)/$D$4</f>
        <v>0.5</v>
      </c>
      <c r="P4" s="48"/>
      <c r="Q4" s="49" t="s">
        <v>84</v>
      </c>
      <c r="R4" s="49" t="s">
        <v>85</v>
      </c>
      <c r="S4" s="49" t="s">
        <v>86</v>
      </c>
      <c r="T4" s="49">
        <v>2050</v>
      </c>
      <c r="U4" s="50">
        <f>N4</f>
        <v>-0.41666666666666669</v>
      </c>
      <c r="V4" s="50">
        <f>O4</f>
        <v>0.5</v>
      </c>
      <c r="W4" s="49">
        <v>2020</v>
      </c>
      <c r="X4" s="50">
        <f>J5</f>
        <v>-0.20000000000000004</v>
      </c>
      <c r="Y4" s="50">
        <f>K5</f>
        <v>1</v>
      </c>
      <c r="Z4" s="88"/>
      <c r="AA4" s="25"/>
    </row>
    <row r="5" spans="1:27" x14ac:dyDescent="0.25">
      <c r="A5" s="3" t="s">
        <v>155</v>
      </c>
      <c r="B5" s="48">
        <v>0.05</v>
      </c>
      <c r="C5" s="48">
        <v>0.03</v>
      </c>
      <c r="D5" s="48">
        <v>0.03</v>
      </c>
      <c r="E5" s="48">
        <v>0.04</v>
      </c>
      <c r="F5" s="48">
        <v>0.1</v>
      </c>
      <c r="G5" s="48">
        <v>0.02</v>
      </c>
      <c r="H5" s="48">
        <v>0.05</v>
      </c>
      <c r="I5" s="101"/>
      <c r="J5" s="51">
        <f>(E5-$B$5)/$B$5</f>
        <v>-0.20000000000000004</v>
      </c>
      <c r="K5" s="51">
        <f>(F5-$B$5)/$B$5</f>
        <v>1</v>
      </c>
      <c r="L5" s="50">
        <f>(-0.004444*C2)+8.777778</f>
        <v>-0.2435419999999997</v>
      </c>
      <c r="M5" s="50">
        <f>(-0.011111*C2)+23.444444</f>
        <v>0.88911400000000285</v>
      </c>
      <c r="N5" s="51">
        <f>(G5-$D$5)/$D$5</f>
        <v>-0.33333333333333331</v>
      </c>
      <c r="O5" s="51">
        <f>(H5-$D$5)/$D$5</f>
        <v>0.66666666666666685</v>
      </c>
      <c r="P5" s="48"/>
      <c r="Q5" s="49">
        <v>2020</v>
      </c>
      <c r="R5" s="50">
        <f>J6</f>
        <v>-0.8035714285714286</v>
      </c>
      <c r="S5" s="50">
        <f>K6</f>
        <v>1</v>
      </c>
      <c r="T5" s="48"/>
      <c r="U5" s="48"/>
      <c r="V5" s="48"/>
      <c r="W5" s="49">
        <v>2050</v>
      </c>
      <c r="X5" s="50">
        <f>N5</f>
        <v>-0.33333333333333331</v>
      </c>
      <c r="Y5" s="50">
        <f>O5</f>
        <v>0.66666666666666685</v>
      </c>
      <c r="Z5" s="88"/>
      <c r="AA5" s="25"/>
    </row>
    <row r="6" spans="1:27" x14ac:dyDescent="0.25">
      <c r="A6" s="3" t="s">
        <v>87</v>
      </c>
      <c r="B6" s="48">
        <v>5600</v>
      </c>
      <c r="C6" s="48">
        <v>7500</v>
      </c>
      <c r="D6" s="48">
        <v>7500</v>
      </c>
      <c r="E6" s="48">
        <v>1100</v>
      </c>
      <c r="F6" s="48">
        <v>11200</v>
      </c>
      <c r="G6" s="48">
        <v>1500</v>
      </c>
      <c r="H6" s="48">
        <v>15000</v>
      </c>
      <c r="I6" s="101"/>
      <c r="J6" s="51">
        <f>(E6-$B$6)/$B$6</f>
        <v>-0.8035714285714286</v>
      </c>
      <c r="K6" s="51">
        <f>(F6-$B$6)/$B$6</f>
        <v>1</v>
      </c>
      <c r="L6" s="50">
        <f>(0.000119*C2)-1.044048</f>
        <v>-0.80247800000000002</v>
      </c>
      <c r="M6" s="50">
        <f>K6</f>
        <v>1</v>
      </c>
      <c r="N6" s="51">
        <f>(G6-$D$6)/$D$6</f>
        <v>-0.8</v>
      </c>
      <c r="O6" s="51">
        <f>(H6-$D$6)/$D$6</f>
        <v>1</v>
      </c>
      <c r="P6" s="48"/>
      <c r="Q6" s="49">
        <v>2050</v>
      </c>
      <c r="R6" s="50">
        <f>N6</f>
        <v>-0.8</v>
      </c>
      <c r="S6" s="50">
        <f>O6</f>
        <v>1</v>
      </c>
      <c r="T6" s="48"/>
      <c r="U6" s="48"/>
      <c r="V6" s="48"/>
      <c r="W6" s="48"/>
      <c r="X6" s="48"/>
      <c r="Y6" s="48"/>
      <c r="Z6" s="89"/>
      <c r="AA6" s="25"/>
    </row>
    <row r="7" spans="1:27" x14ac:dyDescent="0.25">
      <c r="A7" s="19"/>
      <c r="AA7" s="25"/>
    </row>
    <row r="8" spans="1:27" x14ac:dyDescent="0.25">
      <c r="A8" s="52"/>
      <c r="B8" s="100" t="s">
        <v>123</v>
      </c>
      <c r="C8" s="100"/>
      <c r="D8" s="100"/>
      <c r="E8" s="100"/>
      <c r="F8" s="100"/>
      <c r="G8" s="100"/>
      <c r="H8" s="100"/>
      <c r="I8" s="100"/>
      <c r="J8" s="100"/>
      <c r="K8" s="46"/>
      <c r="L8" s="46"/>
      <c r="M8" s="53"/>
      <c r="N8" s="53"/>
      <c r="O8" s="53"/>
    </row>
    <row r="9" spans="1:27" ht="16.149999999999999" customHeight="1" x14ac:dyDescent="0.25">
      <c r="A9" s="3" t="s">
        <v>156</v>
      </c>
      <c r="B9" s="99" t="s">
        <v>192</v>
      </c>
      <c r="C9" s="99"/>
      <c r="D9" s="99"/>
      <c r="E9" s="99"/>
      <c r="F9" s="99"/>
      <c r="G9" s="99"/>
      <c r="H9" s="99"/>
      <c r="I9" s="99"/>
      <c r="J9" s="99"/>
      <c r="K9" s="47"/>
      <c r="L9" s="47"/>
      <c r="M9" s="54"/>
      <c r="N9" s="54"/>
      <c r="O9" s="54"/>
    </row>
    <row r="10" spans="1:27" ht="16.149999999999999" customHeight="1" x14ac:dyDescent="0.25">
      <c r="A10" s="3" t="s">
        <v>157</v>
      </c>
      <c r="B10" s="99"/>
      <c r="C10" s="99"/>
      <c r="D10" s="99"/>
      <c r="E10" s="99"/>
      <c r="F10" s="99"/>
      <c r="G10" s="99"/>
      <c r="H10" s="99"/>
      <c r="I10" s="99"/>
      <c r="J10" s="99"/>
      <c r="K10" s="47"/>
      <c r="L10" s="47"/>
      <c r="M10" s="54"/>
      <c r="N10" s="54"/>
      <c r="O10" s="54"/>
    </row>
    <row r="11" spans="1:27" ht="16.149999999999999" customHeight="1" x14ac:dyDescent="0.25">
      <c r="A11" s="3" t="s">
        <v>158</v>
      </c>
      <c r="B11" s="99"/>
      <c r="C11" s="99"/>
      <c r="D11" s="99"/>
      <c r="E11" s="99"/>
      <c r="F11" s="99"/>
      <c r="G11" s="99"/>
      <c r="H11" s="99"/>
      <c r="I11" s="99"/>
      <c r="J11" s="99"/>
      <c r="K11" s="47"/>
      <c r="L11" s="47"/>
      <c r="M11" s="54"/>
      <c r="N11" s="54"/>
      <c r="O11" s="54"/>
    </row>
    <row r="12" spans="1:27" x14ac:dyDescent="0.25">
      <c r="A12" s="3" t="s">
        <v>159</v>
      </c>
      <c r="B12" s="93" t="s">
        <v>186</v>
      </c>
      <c r="C12" s="94"/>
      <c r="D12" s="94"/>
      <c r="E12" s="94"/>
      <c r="F12" s="94"/>
      <c r="G12" s="94"/>
      <c r="H12" s="94"/>
      <c r="I12" s="94"/>
      <c r="J12" s="95"/>
      <c r="K12" s="47"/>
      <c r="L12" s="47"/>
      <c r="M12" s="54"/>
      <c r="N12" s="54"/>
      <c r="O12" s="54"/>
    </row>
    <row r="13" spans="1:27" x14ac:dyDescent="0.25">
      <c r="A13" s="3" t="s">
        <v>160</v>
      </c>
      <c r="B13" s="102"/>
      <c r="C13" s="74"/>
      <c r="D13" s="74"/>
      <c r="E13" s="74"/>
      <c r="F13" s="74"/>
      <c r="G13" s="74"/>
      <c r="H13" s="74"/>
      <c r="I13" s="74"/>
      <c r="J13" s="82"/>
      <c r="K13" s="47"/>
      <c r="L13" s="47"/>
      <c r="M13" s="54"/>
      <c r="N13" s="54"/>
      <c r="O13" s="54"/>
    </row>
    <row r="14" spans="1:27" x14ac:dyDescent="0.25">
      <c r="A14" s="3" t="s">
        <v>161</v>
      </c>
      <c r="B14" s="102"/>
      <c r="C14" s="74"/>
      <c r="D14" s="74"/>
      <c r="E14" s="74"/>
      <c r="F14" s="74"/>
      <c r="G14" s="74"/>
      <c r="H14" s="74"/>
      <c r="I14" s="74"/>
      <c r="J14" s="82"/>
      <c r="K14" s="47"/>
      <c r="L14" s="47"/>
      <c r="M14" s="54"/>
      <c r="N14" s="54"/>
      <c r="O14" s="54"/>
    </row>
    <row r="15" spans="1:27" x14ac:dyDescent="0.25">
      <c r="A15" s="3" t="s">
        <v>162</v>
      </c>
      <c r="B15" s="102"/>
      <c r="C15" s="74"/>
      <c r="D15" s="74"/>
      <c r="E15" s="74"/>
      <c r="F15" s="74"/>
      <c r="G15" s="74"/>
      <c r="H15" s="74"/>
      <c r="I15" s="74"/>
      <c r="J15" s="82"/>
      <c r="K15" s="47"/>
      <c r="L15" s="47"/>
      <c r="M15" s="54"/>
      <c r="N15" s="54"/>
      <c r="O15" s="54"/>
    </row>
    <row r="16" spans="1:27" x14ac:dyDescent="0.25">
      <c r="A16" s="3" t="s">
        <v>163</v>
      </c>
      <c r="B16" s="102"/>
      <c r="C16" s="74"/>
      <c r="D16" s="74"/>
      <c r="E16" s="74"/>
      <c r="F16" s="74"/>
      <c r="G16" s="74"/>
      <c r="H16" s="74"/>
      <c r="I16" s="74"/>
      <c r="J16" s="82"/>
      <c r="K16" s="47"/>
      <c r="L16" s="47"/>
      <c r="M16" s="54"/>
      <c r="N16" s="54"/>
      <c r="O16" s="54"/>
    </row>
    <row r="17" spans="1:15" ht="30" x14ac:dyDescent="0.25">
      <c r="A17" s="3" t="s">
        <v>164</v>
      </c>
      <c r="B17" s="96"/>
      <c r="C17" s="97"/>
      <c r="D17" s="97"/>
      <c r="E17" s="97"/>
      <c r="F17" s="97"/>
      <c r="G17" s="97"/>
      <c r="H17" s="97"/>
      <c r="I17" s="97"/>
      <c r="J17" s="98"/>
      <c r="K17" s="47"/>
      <c r="L17" s="47"/>
      <c r="M17" s="54"/>
      <c r="N17" s="54"/>
      <c r="O17" s="54"/>
    </row>
    <row r="18" spans="1:15" ht="18.399999999999999" customHeight="1" x14ac:dyDescent="0.25">
      <c r="A18" s="3" t="s">
        <v>165</v>
      </c>
      <c r="B18" s="99" t="s">
        <v>181</v>
      </c>
      <c r="C18" s="99"/>
      <c r="D18" s="99"/>
      <c r="E18" s="99"/>
      <c r="F18" s="99"/>
      <c r="G18" s="99"/>
      <c r="H18" s="99"/>
      <c r="I18" s="99"/>
      <c r="J18" s="99"/>
      <c r="K18" s="47"/>
      <c r="L18" s="47"/>
      <c r="M18" s="54"/>
      <c r="N18" s="55"/>
      <c r="O18" s="55"/>
    </row>
    <row r="19" spans="1:15" x14ac:dyDescent="0.25">
      <c r="A19" s="3" t="s">
        <v>166</v>
      </c>
      <c r="B19" s="99" t="s">
        <v>188</v>
      </c>
      <c r="C19" s="99"/>
      <c r="D19" s="99"/>
      <c r="E19" s="99"/>
      <c r="F19" s="99"/>
      <c r="G19" s="99"/>
      <c r="H19" s="99"/>
      <c r="I19" s="99"/>
      <c r="J19" s="99"/>
      <c r="K19" s="47"/>
      <c r="L19" s="47"/>
      <c r="M19" s="54"/>
      <c r="N19" s="55"/>
      <c r="O19" s="55"/>
    </row>
    <row r="20" spans="1:15" x14ac:dyDescent="0.25">
      <c r="A20" s="3" t="s">
        <v>167</v>
      </c>
      <c r="B20" s="99"/>
      <c r="C20" s="99"/>
      <c r="D20" s="99"/>
      <c r="E20" s="99"/>
      <c r="F20" s="99"/>
      <c r="G20" s="99"/>
      <c r="H20" s="99"/>
      <c r="I20" s="99"/>
      <c r="J20" s="99"/>
      <c r="K20" s="47"/>
      <c r="L20" s="47"/>
      <c r="M20" s="54"/>
      <c r="N20" s="55"/>
      <c r="O20" s="55"/>
    </row>
    <row r="21" spans="1:15" x14ac:dyDescent="0.25">
      <c r="A21" s="3" t="s">
        <v>168</v>
      </c>
      <c r="B21" s="99" t="s">
        <v>189</v>
      </c>
      <c r="C21" s="99"/>
      <c r="D21" s="99"/>
      <c r="E21" s="99"/>
      <c r="F21" s="99"/>
      <c r="G21" s="99"/>
      <c r="H21" s="99"/>
      <c r="I21" s="99"/>
      <c r="J21" s="99"/>
      <c r="K21" s="47"/>
      <c r="L21" s="47"/>
      <c r="M21" s="54"/>
      <c r="N21" s="55"/>
      <c r="O21" s="55"/>
    </row>
    <row r="22" spans="1:15" x14ac:dyDescent="0.25">
      <c r="A22" s="3" t="s">
        <v>169</v>
      </c>
      <c r="B22" s="99"/>
      <c r="C22" s="99"/>
      <c r="D22" s="99"/>
      <c r="E22" s="99"/>
      <c r="F22" s="99"/>
      <c r="G22" s="99"/>
      <c r="H22" s="99"/>
      <c r="I22" s="99"/>
      <c r="J22" s="99"/>
      <c r="K22" s="47"/>
      <c r="L22" s="47"/>
      <c r="M22" s="54"/>
      <c r="N22" s="55"/>
      <c r="O22" s="55"/>
    </row>
    <row r="23" spans="1:15" ht="27" customHeight="1" x14ac:dyDescent="0.25">
      <c r="A23" s="3" t="s">
        <v>170</v>
      </c>
      <c r="B23" s="99" t="s">
        <v>183</v>
      </c>
      <c r="C23" s="99"/>
      <c r="D23" s="99"/>
      <c r="E23" s="99"/>
      <c r="F23" s="99"/>
      <c r="G23" s="99"/>
      <c r="H23" s="99"/>
      <c r="I23" s="99"/>
      <c r="J23" s="99"/>
      <c r="K23" s="47"/>
      <c r="L23" s="47"/>
      <c r="M23" s="54"/>
      <c r="N23" s="55"/>
      <c r="O23" s="55"/>
    </row>
    <row r="24" spans="1:15" ht="27" customHeight="1" x14ac:dyDescent="0.25">
      <c r="A24" s="3" t="s">
        <v>171</v>
      </c>
      <c r="B24" s="90" t="s">
        <v>190</v>
      </c>
      <c r="C24" s="91"/>
      <c r="D24" s="91"/>
      <c r="E24" s="91"/>
      <c r="F24" s="91"/>
      <c r="G24" s="91"/>
      <c r="H24" s="91"/>
      <c r="I24" s="91"/>
      <c r="J24" s="92"/>
      <c r="K24" s="47"/>
      <c r="L24" s="47"/>
      <c r="M24" s="54"/>
      <c r="N24" s="55"/>
      <c r="O24" s="55"/>
    </row>
    <row r="25" spans="1:15" ht="27" customHeight="1" x14ac:dyDescent="0.25">
      <c r="A25" s="3" t="s">
        <v>172</v>
      </c>
      <c r="B25" s="90" t="s">
        <v>191</v>
      </c>
      <c r="C25" s="91"/>
      <c r="D25" s="91"/>
      <c r="E25" s="91"/>
      <c r="F25" s="91"/>
      <c r="G25" s="91"/>
      <c r="H25" s="91"/>
      <c r="I25" s="91"/>
      <c r="J25" s="92"/>
      <c r="K25" s="47"/>
      <c r="L25" s="47"/>
      <c r="M25" s="54"/>
      <c r="N25" s="55"/>
      <c r="O25" s="55"/>
    </row>
    <row r="26" spans="1:15" x14ac:dyDescent="0.25">
      <c r="A26" s="3" t="s">
        <v>173</v>
      </c>
      <c r="B26" s="93" t="s">
        <v>188</v>
      </c>
      <c r="C26" s="94"/>
      <c r="D26" s="94"/>
      <c r="E26" s="94"/>
      <c r="F26" s="94"/>
      <c r="G26" s="94"/>
      <c r="H26" s="94"/>
      <c r="I26" s="94"/>
      <c r="J26" s="95"/>
      <c r="K26" s="47"/>
      <c r="L26" s="47"/>
      <c r="M26" s="54"/>
      <c r="N26" s="55"/>
      <c r="O26" s="55"/>
    </row>
    <row r="27" spans="1:15" x14ac:dyDescent="0.25">
      <c r="A27" s="3" t="s">
        <v>174</v>
      </c>
      <c r="B27" s="96"/>
      <c r="C27" s="97"/>
      <c r="D27" s="97"/>
      <c r="E27" s="97"/>
      <c r="F27" s="97"/>
      <c r="G27" s="97"/>
      <c r="H27" s="97"/>
      <c r="I27" s="97"/>
      <c r="J27" s="98"/>
      <c r="K27" s="47"/>
      <c r="L27" s="47"/>
      <c r="M27" s="54"/>
      <c r="N27" s="55"/>
      <c r="O27" s="55"/>
    </row>
  </sheetData>
  <mergeCells count="17">
    <mergeCell ref="Z2:Z6"/>
    <mergeCell ref="B24:J24"/>
    <mergeCell ref="B25:J25"/>
    <mergeCell ref="B26:J27"/>
    <mergeCell ref="B21:J22"/>
    <mergeCell ref="B23:J23"/>
    <mergeCell ref="B8:J8"/>
    <mergeCell ref="B9:J11"/>
    <mergeCell ref="B18:J18"/>
    <mergeCell ref="B19:J20"/>
    <mergeCell ref="I3:I6"/>
    <mergeCell ref="B12:J17"/>
    <mergeCell ref="E1:F1"/>
    <mergeCell ref="G1:H1"/>
    <mergeCell ref="J1:K1"/>
    <mergeCell ref="L1:M1"/>
    <mergeCell ref="N1:O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9</vt:i4>
      </vt:variant>
    </vt:vector>
  </HeadingPairs>
  <TitlesOfParts>
    <vt:vector size="12" baseType="lpstr">
      <vt:lpstr>NaS</vt:lpstr>
      <vt:lpstr>Data</vt:lpstr>
      <vt:lpstr>Uncertanties</vt:lpstr>
      <vt:lpstr>03URT_L</vt:lpstr>
      <vt:lpstr>03URT_U</vt:lpstr>
      <vt:lpstr>04UTL_L</vt:lpstr>
      <vt:lpstr>04UTL_U</vt:lpstr>
      <vt:lpstr>05UOP_L</vt:lpstr>
      <vt:lpstr>05UOP_U</vt:lpstr>
      <vt:lpstr>17_EC</vt:lpstr>
      <vt:lpstr>18_CC</vt:lpstr>
      <vt:lpstr>06ULT_L</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Ulises</cp:lastModifiedBy>
  <cp:revision/>
  <dcterms:created xsi:type="dcterms:W3CDTF">2020-01-16T22:42:34Z</dcterms:created>
  <dcterms:modified xsi:type="dcterms:W3CDTF">2020-05-19T15:28:53Z</dcterms:modified>
</cp:coreProperties>
</file>