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03-PROY ALM ENE\04-INFORMES\R-D2\Tablas V11\"/>
    </mc:Choice>
  </mc:AlternateContent>
  <xr:revisionPtr revIDLastSave="0" documentId="13_ncr:1_{1BD6D92A-03A4-4E96-A1E0-BFEB02560483}" xr6:coauthVersionLast="45" xr6:coauthVersionMax="45" xr10:uidLastSave="{00000000-0000-0000-0000-000000000000}"/>
  <bookViews>
    <workbookView xWindow="-120" yWindow="-120" windowWidth="29040" windowHeight="15840" xr2:uid="{00000000-000D-0000-FFFF-FFFF00000000}"/>
  </bookViews>
  <sheets>
    <sheet name="VRF" sheetId="1" r:id="rId1"/>
    <sheet name="Data" sheetId="2" r:id="rId2"/>
    <sheet name="Uncertanties" sheetId="13" r:id="rId3"/>
    <sheet name="03URT_L" sheetId="14" r:id="rId4"/>
    <sheet name="03URT_U" sheetId="15" r:id="rId5"/>
    <sheet name="04UTL_L" sheetId="16" r:id="rId6"/>
    <sheet name="04ULT_U" sheetId="17" r:id="rId7"/>
    <sheet name="05UOP_L" sheetId="18" r:id="rId8"/>
    <sheet name="05UOP_U" sheetId="19" r:id="rId9"/>
    <sheet name="17_EC" sheetId="11" r:id="rId10"/>
    <sheet name="18_CC" sheetId="10" r:id="rId11"/>
  </sheets>
  <externalReferences>
    <externalReference r:id="rId12"/>
    <externalReference r:id="rId13"/>
    <externalReference r:id="rId14"/>
  </externalReferences>
  <definedNames>
    <definedName name="BTV11_15">'[1]arbejds ark LARGE New'!$K$33</definedName>
    <definedName name="BVT17_15">'[1]arbejds ark LARGE New'!$S$67</definedName>
    <definedName name="EUR16tilEUR15">'[1]22 Photovoltaics  LARGE Old'!$N$2</definedName>
    <definedName name="Index">#REF!</definedName>
    <definedName name="Sheet">#REF!</definedName>
    <definedName name="Start10" localSheetId="0">'[2]Li-Ion Battery'!#REF!</definedName>
    <definedName name="Start10">'[3]03 Lithium Ion Battery'!#REF!</definedName>
    <definedName name="Start11" localSheetId="0">#REF!</definedName>
    <definedName name="Start12" localSheetId="0">'[2]Molten Salt'!#REF!</definedName>
    <definedName name="Start13" localSheetId="0">#REF!</definedName>
    <definedName name="Start13">#REF!</definedName>
    <definedName name="Start14">#REF!</definedName>
    <definedName name="Start15">#REF!</definedName>
    <definedName name="Start16">#REF!</definedName>
    <definedName name="Start17">#REF!</definedName>
    <definedName name="Start18">#REF!</definedName>
    <definedName name="Start19">#REF!</definedName>
    <definedName name="Start2">#REF!</definedName>
    <definedName name="Start20">#REF!</definedName>
    <definedName name="Start21">#REF!</definedName>
    <definedName name="Start22">#REF!</definedName>
    <definedName name="Start23">#REF!</definedName>
    <definedName name="Start24">#REF!</definedName>
    <definedName name="Start25">#REF!</definedName>
    <definedName name="Start26">#REF!</definedName>
    <definedName name="Start27">#REF!</definedName>
    <definedName name="Start28">#REF!</definedName>
    <definedName name="Start29">#REF!</definedName>
    <definedName name="Start3">#REF!</definedName>
    <definedName name="Start30">#REF!</definedName>
    <definedName name="Start31">#REF!</definedName>
    <definedName name="Start32">#REF!</definedName>
    <definedName name="Start33">#REF!</definedName>
    <definedName name="Start34">#REF!</definedName>
    <definedName name="Start35">#REF!</definedName>
    <definedName name="Start36">#REF!</definedName>
    <definedName name="Start37">#REF!</definedName>
    <definedName name="Start38">#REF!</definedName>
    <definedName name="Start39">#REF!</definedName>
    <definedName name="Start4">#REF!</definedName>
    <definedName name="Start40">#REF!</definedName>
    <definedName name="Start41">#REF!</definedName>
    <definedName name="Start42">#REF!</definedName>
    <definedName name="Start43">#REF!</definedName>
    <definedName name="Start44">#REF!</definedName>
    <definedName name="Start45">#REF!</definedName>
    <definedName name="Start46">#REF!</definedName>
    <definedName name="Start47">#REF!</definedName>
    <definedName name="Start5">#REF!</definedName>
    <definedName name="Start6">#REF!</definedName>
    <definedName name="Start7" localSheetId="0">#REF!</definedName>
    <definedName name="Start7">#REF!</definedName>
    <definedName name="Start8" localSheetId="0">[2]CAES!#REF!</definedName>
    <definedName name="Start9" localSheetId="0">[2]Flywheels!#REF!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3" i="2" l="1"/>
  <c r="H21" i="2"/>
  <c r="F21" i="2"/>
  <c r="D21" i="2"/>
  <c r="H20" i="2"/>
  <c r="F20" i="2"/>
  <c r="D20" i="2"/>
  <c r="I21" i="2" l="1"/>
  <c r="G20" i="2"/>
  <c r="G21" i="2"/>
  <c r="C27" i="1"/>
  <c r="F12" i="2" l="1"/>
  <c r="H12" i="2" s="1"/>
  <c r="H8" i="2"/>
  <c r="F8" i="2"/>
  <c r="D8" i="2"/>
  <c r="H7" i="2"/>
  <c r="D7" i="2"/>
  <c r="F7" i="2"/>
  <c r="D5" i="2"/>
  <c r="E5" i="2" s="1"/>
  <c r="F5" i="2" s="1"/>
  <c r="H5" i="2" s="1"/>
  <c r="D4" i="2"/>
  <c r="E4" i="2" s="1"/>
  <c r="F4" i="2" s="1"/>
  <c r="H4" i="2" s="1"/>
  <c r="D3" i="2"/>
  <c r="D25" i="2" l="1"/>
  <c r="D24" i="2"/>
  <c r="D22" i="2"/>
  <c r="E3" i="2"/>
  <c r="F3" i="2" s="1"/>
  <c r="D16" i="2"/>
  <c r="D26" i="1"/>
  <c r="C11" i="1"/>
  <c r="F25" i="2" l="1"/>
  <c r="F24" i="2"/>
  <c r="F22" i="2"/>
  <c r="H3" i="2"/>
  <c r="F16" i="2"/>
  <c r="E26" i="1"/>
  <c r="H25" i="2" l="1"/>
  <c r="H24" i="2"/>
  <c r="H28" i="1"/>
  <c r="I28" i="1" l="1"/>
  <c r="G28" i="1"/>
  <c r="F28" i="1"/>
  <c r="C28" i="1"/>
  <c r="L21" i="2" s="1"/>
  <c r="M21" i="2" s="1"/>
  <c r="G27" i="1"/>
  <c r="F27" i="1"/>
  <c r="D28" i="1" l="1"/>
  <c r="N21" i="2"/>
  <c r="E28" i="1" s="1"/>
  <c r="I34" i="1"/>
  <c r="I33" i="1"/>
  <c r="H34" i="1"/>
  <c r="H33" i="1"/>
  <c r="B6" i="13"/>
  <c r="F6" i="13"/>
  <c r="E6" i="13"/>
  <c r="K6" i="13" l="1"/>
  <c r="M6" i="13" s="1"/>
  <c r="M5" i="13"/>
  <c r="L5" i="13"/>
  <c r="I21" i="1"/>
  <c r="H21" i="1"/>
  <c r="I20" i="1"/>
  <c r="H20" i="1"/>
  <c r="I17" i="1"/>
  <c r="H17" i="1"/>
  <c r="M4" i="13"/>
  <c r="I16" i="1" s="1"/>
  <c r="L4" i="13"/>
  <c r="H16" i="1" s="1"/>
  <c r="M3" i="13"/>
  <c r="I10" i="1" s="1"/>
  <c r="I11" i="1" s="1"/>
  <c r="I12" i="1" s="1"/>
  <c r="L3" i="13"/>
  <c r="H10" i="1" s="1"/>
  <c r="H11" i="1" s="1"/>
  <c r="H12" i="1" s="1"/>
  <c r="J3" i="13"/>
  <c r="F10" i="1" s="1"/>
  <c r="F11" i="1" s="1"/>
  <c r="F12" i="1" s="1"/>
  <c r="J6" i="13"/>
  <c r="L6" i="13" s="1"/>
  <c r="O5" i="13"/>
  <c r="Y5" i="13" s="1"/>
  <c r="N5" i="13"/>
  <c r="X5" i="13" s="1"/>
  <c r="K5" i="13"/>
  <c r="J5" i="13"/>
  <c r="O4" i="13"/>
  <c r="V4" i="13" s="1"/>
  <c r="N4" i="13"/>
  <c r="U4" i="13" s="1"/>
  <c r="K4" i="13"/>
  <c r="J4" i="13"/>
  <c r="O3" i="13"/>
  <c r="S3" i="13" s="1"/>
  <c r="N3" i="13"/>
  <c r="R3" i="13" s="1"/>
  <c r="K3" i="13"/>
  <c r="R2" i="13" l="1"/>
  <c r="S2" i="13"/>
  <c r="G10" i="1"/>
  <c r="G11" i="1" s="1"/>
  <c r="G12" i="1" s="1"/>
  <c r="U3" i="13"/>
  <c r="F16" i="1"/>
  <c r="V3" i="13"/>
  <c r="G16" i="1"/>
  <c r="X4" i="13"/>
  <c r="F26" i="1"/>
  <c r="Y4" i="13"/>
  <c r="G26" i="1"/>
  <c r="F7" i="1"/>
  <c r="F8" i="1" l="1"/>
  <c r="F9" i="1" s="1"/>
  <c r="G7" i="1"/>
  <c r="D34" i="1"/>
  <c r="D33" i="1"/>
  <c r="L20" i="2"/>
  <c r="M20" i="2" s="1"/>
  <c r="I20" i="2"/>
  <c r="H17" i="2"/>
  <c r="D24" i="1"/>
  <c r="C24" i="1"/>
  <c r="E8" i="1"/>
  <c r="E9" i="1" s="1"/>
  <c r="D8" i="1"/>
  <c r="D9" i="1" s="1"/>
  <c r="C8" i="1"/>
  <c r="H18" i="2"/>
  <c r="E11" i="1"/>
  <c r="E12" i="1" s="1"/>
  <c r="D11" i="1"/>
  <c r="D12" i="1" s="1"/>
  <c r="C12" i="1"/>
  <c r="C9" i="1" l="1"/>
  <c r="C32" i="1"/>
  <c r="C31" i="1"/>
  <c r="E34" i="1"/>
  <c r="E32" i="1" s="1"/>
  <c r="D32" i="1"/>
  <c r="E33" i="1"/>
  <c r="E31" i="1" s="1"/>
  <c r="D31" i="1"/>
  <c r="F32" i="1"/>
  <c r="H22" i="2"/>
  <c r="H16" i="2"/>
  <c r="F31" i="1"/>
  <c r="C23" i="1"/>
  <c r="C30" i="1"/>
  <c r="F23" i="1"/>
  <c r="F30" i="1"/>
  <c r="G8" i="1"/>
  <c r="G30" i="1" s="1"/>
  <c r="H7" i="1"/>
  <c r="I19" i="2"/>
  <c r="G19" i="2"/>
  <c r="E25" i="1"/>
  <c r="E24" i="1"/>
  <c r="G32" i="1" l="1"/>
  <c r="G31" i="1"/>
  <c r="H8" i="1"/>
  <c r="H9" i="1" s="1"/>
  <c r="I7" i="1"/>
  <c r="G9" i="1"/>
  <c r="G23" i="1"/>
  <c r="D27" i="1"/>
  <c r="N20" i="2"/>
  <c r="E27" i="1" s="1"/>
  <c r="D30" i="1"/>
  <c r="I8" i="1" l="1"/>
  <c r="I9" i="1" s="1"/>
  <c r="I32" i="1"/>
  <c r="H32" i="1"/>
  <c r="H31" i="1"/>
  <c r="H27" i="1"/>
  <c r="I27" i="1"/>
  <c r="D6" i="13"/>
  <c r="D23" i="1"/>
  <c r="I26" i="1"/>
  <c r="I23" i="1" s="1"/>
  <c r="H26" i="1"/>
  <c r="C6" i="13"/>
  <c r="I31" i="1" l="1"/>
  <c r="H23" i="1"/>
  <c r="H30" i="1"/>
  <c r="I30" i="1"/>
  <c r="E23" i="1"/>
  <c r="E30" i="1"/>
</calcChain>
</file>

<file path=xl/sharedStrings.xml><?xml version="1.0" encoding="utf-8"?>
<sst xmlns="http://schemas.openxmlformats.org/spreadsheetml/2006/main" count="278" uniqueCount="192">
  <si>
    <t>2020 (Uncertainty)</t>
  </si>
  <si>
    <t>2050 (Uncertainty)</t>
  </si>
  <si>
    <t>Exchange ratio 2020</t>
  </si>
  <si>
    <t>Exchange ratio 2030</t>
  </si>
  <si>
    <t>Exchange ratio 2050</t>
  </si>
  <si>
    <t>Year</t>
  </si>
  <si>
    <t>Lower (%)</t>
  </si>
  <si>
    <t>Upper (%)</t>
  </si>
  <si>
    <t>Technical Data</t>
  </si>
  <si>
    <t>Lower</t>
  </si>
  <si>
    <t>Upper</t>
  </si>
  <si>
    <t>Reference</t>
  </si>
  <si>
    <t>Technology</t>
  </si>
  <si>
    <t>Vanadium Redox Battery (VRB)</t>
  </si>
  <si>
    <t>Uncertainty (2020)</t>
  </si>
  <si>
    <t>Note</t>
  </si>
  <si>
    <t>Ref</t>
  </si>
  <si>
    <t>Energy/technical data</t>
  </si>
  <si>
    <t>Upper </t>
  </si>
  <si>
    <t>Form of energy stored</t>
  </si>
  <si>
    <t>Application</t>
  </si>
  <si>
    <t>Frequency Containment Reserve (4h)</t>
  </si>
  <si>
    <t>Energy storage capacity for one unit (MWh)</t>
  </si>
  <si>
    <t>[1]</t>
  </si>
  <si>
    <t>Output capacity for one unit (MW)*</t>
  </si>
  <si>
    <t>Input capacity for one unit (MW)*</t>
  </si>
  <si>
    <t>Round trip efficiency (%)</t>
  </si>
  <si>
    <t>average</t>
  </si>
  <si>
    <t>[2], [3], [4], [5], [6]</t>
  </si>
  <si>
    <t xml:space="preserve"> - Discharge efficiency (%)</t>
  </si>
  <si>
    <t>[3]</t>
  </si>
  <si>
    <t>Energy losses during storage (%/day)</t>
  </si>
  <si>
    <t>Forced outage (%)</t>
  </si>
  <si>
    <t>A</t>
  </si>
  <si>
    <t>[2]</t>
  </si>
  <si>
    <t>Planned outage (weeks per year)</t>
  </si>
  <si>
    <t>[2], [4]</t>
  </si>
  <si>
    <t>Technical lifetime (years)</t>
  </si>
  <si>
    <t>[2], [3], [4]</t>
  </si>
  <si>
    <t>Construction time (years)</t>
  </si>
  <si>
    <t>B</t>
  </si>
  <si>
    <t>Regulation ability</t>
  </si>
  <si>
    <t>Response time from idle to full-rated discharge (sec)</t>
  </si>
  <si>
    <t>C</t>
  </si>
  <si>
    <t>Response time from full-rated charge to full-rated  discharge (sec)</t>
  </si>
  <si>
    <t>Financial data</t>
  </si>
  <si>
    <t>Specific investment (MUSD2020 per MWh)</t>
  </si>
  <si>
    <t>D</t>
  </si>
  <si>
    <t>E</t>
  </si>
  <si>
    <t xml:space="preserve"> capacity component (MUSD2020 per MW)</t>
  </si>
  <si>
    <t>F</t>
  </si>
  <si>
    <t xml:space="preserve"> - other project costs (MUSD/MWh)</t>
  </si>
  <si>
    <t>G</t>
  </si>
  <si>
    <t>[8]</t>
  </si>
  <si>
    <t>Variable O&amp;M (USD2020/kWh/year)</t>
  </si>
  <si>
    <t xml:space="preserve">Technology specific data                                 </t>
  </si>
  <si>
    <t>Lifetime in total number of cycles</t>
  </si>
  <si>
    <t>Specific power (W/kg)</t>
  </si>
  <si>
    <t>Power density (W/m3)</t>
  </si>
  <si>
    <t>Specific energy (Wh/kg)</t>
  </si>
  <si>
    <t>Energy density (Wh/m3)</t>
  </si>
  <si>
    <t>Notes:</t>
  </si>
  <si>
    <t>Some companies guarantee at least 99.5% uptime</t>
  </si>
  <si>
    <t>Depends highly on the installation.</t>
  </si>
  <si>
    <t>Time is less than 100 ms for idle situation with electrolyte in reaction stack and pumps on. Less the 1 s if electrolyte must first be pumped. Less than 1 min if pumps are not on. PCS might be limiting the response time.[2]</t>
  </si>
  <si>
    <t>This data is interpreted within the IRENA tool as: "Energy Installation cost+(Power Installation Cost/4 hr)".</t>
  </si>
  <si>
    <t>This data is interpreted within the IRENA tool as: "Power Installation cost".</t>
  </si>
  <si>
    <t>Value for utility T&amp;D installations with discharge time of 4 hours used.</t>
  </si>
  <si>
    <t>References</t>
  </si>
  <si>
    <t>IRENA (2017). Electricity storage and renewables: Costs and markets to 2030. Cost of service tool. Available in: https://www.irena.org/publications/2017/Oct/Electricity-storage-and-renewables-costs-and-markets</t>
  </si>
  <si>
    <t>Luo, X., Wang, J., Dooner, M., &amp; Clarke, J. (2015). Overview of current development in electrical energy storage technologies and the application potential in power system operation. Applied Energy, 137, 511–536. https://doi.org/https://doi.org/10.1016/j.apenergy.2014.09.081</t>
  </si>
  <si>
    <t>[4]</t>
  </si>
  <si>
    <t>International Renewable Energy Agency. Electricity Storage and Renewables : Costs and Markets To 2030, (2017). http://www.irena.org/publications/2017/Oct/Electricity-storage-and-renewables-costs-and-markets</t>
  </si>
  <si>
    <t>[5]</t>
  </si>
  <si>
    <t>[6]</t>
  </si>
  <si>
    <t>Schmidt, O., Melchior, S., Hawkes, A., &amp; Staffell, I. (2019). Projecting the Future Levelized Cost of Electricity Storage Technologies. Joule, 3(1), 81–100. https://doi.org/10.1016/j.joule.2018.12.008</t>
  </si>
  <si>
    <t>[7]</t>
  </si>
  <si>
    <t>Exchange ratio between the years 2030 and 2020</t>
  </si>
  <si>
    <t>Exchange ratio between the years 2050 and 2030</t>
  </si>
  <si>
    <t>30 - 20</t>
  </si>
  <si>
    <t>Power density (W/L)</t>
  </si>
  <si>
    <t>Energy density (Wh/L)</t>
  </si>
  <si>
    <t>[1], Table 3</t>
  </si>
  <si>
    <t>Fixed O&amp;M (kUSD/MW/year)</t>
  </si>
  <si>
    <t>[8], [2]</t>
  </si>
  <si>
    <t>2020 value is taken from [8], while the projections follow the relative decrease in costs from [2], based on the 2020 value.</t>
  </si>
  <si>
    <t>ABB</t>
  </si>
  <si>
    <t>ESC</t>
  </si>
  <si>
    <t>OCO</t>
  </si>
  <si>
    <t>ICO</t>
  </si>
  <si>
    <t>RTE</t>
  </si>
  <si>
    <t>CE</t>
  </si>
  <si>
    <t>DE</t>
  </si>
  <si>
    <t>ELS</t>
  </si>
  <si>
    <t>FO</t>
  </si>
  <si>
    <t>PO</t>
  </si>
  <si>
    <t>TL</t>
  </si>
  <si>
    <t>CT</t>
  </si>
  <si>
    <t>RTI</t>
  </si>
  <si>
    <t>RTF</t>
  </si>
  <si>
    <t>SI</t>
  </si>
  <si>
    <t>EC</t>
  </si>
  <si>
    <t>CC</t>
  </si>
  <si>
    <t>OPC</t>
  </si>
  <si>
    <t>FOM</t>
  </si>
  <si>
    <t>VOM</t>
  </si>
  <si>
    <t>AIC</t>
  </si>
  <si>
    <t>LTN</t>
  </si>
  <si>
    <t>SP</t>
  </si>
  <si>
    <t>PD</t>
  </si>
  <si>
    <t>SE</t>
  </si>
  <si>
    <t>ED</t>
  </si>
  <si>
    <t>NOTE</t>
  </si>
  <si>
    <t>Uncertainty (2030)</t>
  </si>
  <si>
    <t>Prodecure followed to determine the projection</t>
  </si>
  <si>
    <t>Projection in according with the exchange ratio (2020-2030 and 2030-2050)</t>
  </si>
  <si>
    <t xml:space="preserve">1. The data for 2020 is a point data types for this year, historical data is not available. 2. The projections have a similar numerical behaviour to the datasheet from DEA Catalogue </t>
  </si>
  <si>
    <r>
      <t xml:space="preserve">Danish Energy Agency. (2019). </t>
    </r>
    <r>
      <rPr>
        <i/>
        <sz val="10"/>
        <color theme="1"/>
        <rFont val="Montserrat Medium"/>
        <family val="3"/>
      </rPr>
      <t>Technogy Data for Energy Storage</t>
    </r>
    <r>
      <rPr>
        <sz val="10"/>
        <color theme="1"/>
        <rFont val="Montserrat Medium"/>
        <family val="3"/>
      </rPr>
      <t>. Copenhagen, Denmark. Retrieved from https://ens.dk/sites/ens.dk/files/Analyser/technology_data_catalogue_for_energy_storage.pdf</t>
    </r>
  </si>
  <si>
    <r>
      <t xml:space="preserve">Lai, C. S., Jia, Y., Lai, L. L., Xu, Z., McCulloch, M. D., &amp; Wong, K. P. (2017). A comprehensive review on large-scale photovoltaic system with applications of electrical energy storage. </t>
    </r>
    <r>
      <rPr>
        <i/>
        <sz val="10"/>
        <color theme="1"/>
        <rFont val="Montserrat Medium"/>
        <family val="3"/>
      </rPr>
      <t>Renewable and Sustainable Energy Reviews</t>
    </r>
    <r>
      <rPr>
        <sz val="10"/>
        <color theme="1"/>
        <rFont val="Montserrat Medium"/>
        <family val="3"/>
      </rPr>
      <t xml:space="preserve">, </t>
    </r>
    <r>
      <rPr>
        <i/>
        <sz val="10"/>
        <color theme="1"/>
        <rFont val="Montserrat Medium"/>
        <family val="3"/>
      </rPr>
      <t>78</t>
    </r>
    <r>
      <rPr>
        <sz val="10"/>
        <color theme="1"/>
        <rFont val="Montserrat Medium"/>
        <family val="3"/>
      </rPr>
      <t>, 439–451</t>
    </r>
  </si>
  <si>
    <r>
      <t xml:space="preserve">EASE/EERA. (2013). </t>
    </r>
    <r>
      <rPr>
        <i/>
        <sz val="10"/>
        <color theme="1"/>
        <rFont val="Montserrat Medium"/>
        <family val="3"/>
      </rPr>
      <t>European Energy Storage Technology Development Roadmap Toward 2030</t>
    </r>
    <r>
      <rPr>
        <sz val="10"/>
        <color theme="1"/>
        <rFont val="Montserrat Medium"/>
        <family val="3"/>
      </rPr>
      <t>. Retrieved from https://www.eera-set.eu/wp-content/uploads/148885-EASE-recommendations-Roadmap-04.pdf</t>
    </r>
  </si>
  <si>
    <r>
      <t xml:space="preserve">Zakeri, B., &amp; Syri, S. (2015). Electrical energy storage systems: A comparative life cycle cost analysis. </t>
    </r>
    <r>
      <rPr>
        <i/>
        <sz val="10"/>
        <color theme="1"/>
        <rFont val="Montserrat Medium"/>
        <family val="3"/>
      </rPr>
      <t>Renewable and Sustainable Energy Reviews</t>
    </r>
    <r>
      <rPr>
        <sz val="10"/>
        <color theme="1"/>
        <rFont val="Montserrat Medium"/>
        <family val="3"/>
      </rPr>
      <t xml:space="preserve">, </t>
    </r>
    <r>
      <rPr>
        <i/>
        <sz val="10"/>
        <color theme="1"/>
        <rFont val="Montserrat Medium"/>
        <family val="3"/>
      </rPr>
      <t>42</t>
    </r>
    <r>
      <rPr>
        <sz val="10"/>
        <color theme="1"/>
        <rFont val="Montserrat Medium"/>
        <family val="3"/>
      </rPr>
      <t>, 569–596. https://doi.org/10.1016/j.rser.2014.10.011</t>
    </r>
  </si>
  <si>
    <r>
      <t xml:space="preserve">Alternative Investment Cost </t>
    </r>
    <r>
      <rPr>
        <sz val="10"/>
        <color theme="1"/>
        <rFont val="Montserrat Medium"/>
        <family val="3"/>
      </rPr>
      <t>(MUSD2015 per MW)</t>
    </r>
  </si>
  <si>
    <r>
      <t xml:space="preserve">Energy Storage Capacity for One Unit </t>
    </r>
    <r>
      <rPr>
        <sz val="10"/>
        <color theme="1"/>
        <rFont val="Montserrat Medium"/>
        <family val="3"/>
      </rPr>
      <t>(MWh)</t>
    </r>
  </si>
  <si>
    <r>
      <t xml:space="preserve">Output Capacity for One Unit </t>
    </r>
    <r>
      <rPr>
        <sz val="10"/>
        <color theme="1"/>
        <rFont val="Montserrat Medium"/>
        <family val="3"/>
      </rPr>
      <t>(MW)</t>
    </r>
  </si>
  <si>
    <r>
      <t>Input Capacity for One Unit</t>
    </r>
    <r>
      <rPr>
        <sz val="10"/>
        <color theme="1"/>
        <rFont val="Montserrat Medium"/>
        <family val="3"/>
      </rPr>
      <t xml:space="preserve"> (MW)</t>
    </r>
  </si>
  <si>
    <r>
      <t xml:space="preserve">Round Trip Efficiency </t>
    </r>
    <r>
      <rPr>
        <sz val="10"/>
        <color theme="1"/>
        <rFont val="Montserrat Medium"/>
        <family val="3"/>
      </rPr>
      <t>(%)</t>
    </r>
  </si>
  <si>
    <r>
      <t xml:space="preserve">Charge Efficiency </t>
    </r>
    <r>
      <rPr>
        <sz val="10"/>
        <color theme="1"/>
        <rFont val="Montserrat Medium"/>
        <family val="3"/>
      </rPr>
      <t>(%)</t>
    </r>
  </si>
  <si>
    <r>
      <t xml:space="preserve">Discharge Efficiency </t>
    </r>
    <r>
      <rPr>
        <sz val="10"/>
        <color theme="1"/>
        <rFont val="Montserrat Medium"/>
        <family val="3"/>
      </rPr>
      <t>(%)</t>
    </r>
  </si>
  <si>
    <r>
      <t xml:space="preserve">Energy Losses during Storage </t>
    </r>
    <r>
      <rPr>
        <sz val="10"/>
        <color theme="1"/>
        <rFont val="Montserrat Medium"/>
        <family val="3"/>
      </rPr>
      <t>(%/day)</t>
    </r>
  </si>
  <si>
    <r>
      <t xml:space="preserve">Forced Outage </t>
    </r>
    <r>
      <rPr>
        <sz val="10"/>
        <color theme="1"/>
        <rFont val="Montserrat Medium"/>
        <family val="3"/>
      </rPr>
      <t>(%)</t>
    </r>
  </si>
  <si>
    <r>
      <t xml:space="preserve">Planned Outage </t>
    </r>
    <r>
      <rPr>
        <sz val="10"/>
        <color theme="1"/>
        <rFont val="Montserrat Medium"/>
        <family val="3"/>
      </rPr>
      <t>(weeks per year)</t>
    </r>
  </si>
  <si>
    <r>
      <t xml:space="preserve">Technical Lifetime </t>
    </r>
    <r>
      <rPr>
        <sz val="10"/>
        <color theme="1"/>
        <rFont val="Montserrat Medium"/>
        <family val="3"/>
      </rPr>
      <t>(years)</t>
    </r>
  </si>
  <si>
    <r>
      <t xml:space="preserve">Construction Time </t>
    </r>
    <r>
      <rPr>
        <sz val="10"/>
        <color theme="1"/>
        <rFont val="Montserrat Medium"/>
        <family val="3"/>
      </rPr>
      <t>(years)</t>
    </r>
  </si>
  <si>
    <r>
      <t xml:space="preserve">Response Time from Idle to Full-Rated Discharge </t>
    </r>
    <r>
      <rPr>
        <sz val="10"/>
        <color theme="1"/>
        <rFont val="Montserrat Medium"/>
        <family val="3"/>
      </rPr>
      <t>(sec)</t>
    </r>
  </si>
  <si>
    <r>
      <t xml:space="preserve">Response Time from Full-Rated Charge to Full-Rated Discharge </t>
    </r>
    <r>
      <rPr>
        <sz val="10"/>
        <color theme="1"/>
        <rFont val="Montserrat Medium"/>
        <family val="3"/>
      </rPr>
      <t>(sec)</t>
    </r>
  </si>
  <si>
    <r>
      <t xml:space="preserve">Specific Investment </t>
    </r>
    <r>
      <rPr>
        <sz val="10"/>
        <color theme="1"/>
        <rFont val="Montserrat Medium"/>
        <family val="3"/>
      </rPr>
      <t>(MUSD2015 per MWh)</t>
    </r>
  </si>
  <si>
    <r>
      <t xml:space="preserve">Energy Component </t>
    </r>
    <r>
      <rPr>
        <sz val="10"/>
        <color theme="1"/>
        <rFont val="Montserrat Medium"/>
        <family val="3"/>
      </rPr>
      <t>(MUSD2015 per MWh)</t>
    </r>
  </si>
  <si>
    <r>
      <t xml:space="preserve">Capacity Component </t>
    </r>
    <r>
      <rPr>
        <sz val="10"/>
        <color theme="1"/>
        <rFont val="Montserrat Medium"/>
        <family val="3"/>
      </rPr>
      <t>(MUSD per MW)</t>
    </r>
  </si>
  <si>
    <r>
      <rPr>
        <b/>
        <sz val="10"/>
        <color theme="1"/>
        <rFont val="Montserrat Medium"/>
        <family val="3"/>
      </rPr>
      <t>Other Project Costs</t>
    </r>
    <r>
      <rPr>
        <sz val="10"/>
        <color theme="1"/>
        <rFont val="Montserrat Medium"/>
        <family val="3"/>
      </rPr>
      <t xml:space="preserve"> (MUSD/MWh)</t>
    </r>
  </si>
  <si>
    <r>
      <t xml:space="preserve">Fixed O&amp;M </t>
    </r>
    <r>
      <rPr>
        <sz val="10"/>
        <color theme="1"/>
        <rFont val="Montserrat Medium"/>
        <family val="3"/>
      </rPr>
      <t>(kUSD2020/MW/year)</t>
    </r>
  </si>
  <si>
    <r>
      <t xml:space="preserve">Variable O&amp;M </t>
    </r>
    <r>
      <rPr>
        <sz val="10"/>
        <color theme="1"/>
        <rFont val="Montserrat Medium"/>
        <family val="3"/>
      </rPr>
      <t>(MUSD2020/MW/year)</t>
    </r>
  </si>
  <si>
    <r>
      <rPr>
        <b/>
        <sz val="10"/>
        <color theme="1"/>
        <rFont val="Montserrat Medium"/>
        <family val="3"/>
      </rPr>
      <t>Projection in according with the exchange ratio</t>
    </r>
    <r>
      <rPr>
        <sz val="10"/>
        <color theme="1"/>
        <rFont val="Montserrat Medium"/>
        <family val="3"/>
      </rPr>
      <t xml:space="preserve"> (2030-2020 and 2050-2030)</t>
    </r>
  </si>
  <si>
    <r>
      <t xml:space="preserve">Other Project Cost </t>
    </r>
    <r>
      <rPr>
        <sz val="10"/>
        <color theme="1"/>
        <rFont val="Montserrat Medium"/>
        <family val="3"/>
      </rPr>
      <t>(MUSD/MWh)</t>
    </r>
  </si>
  <si>
    <r>
      <t xml:space="preserve">Fixed O&amp;M </t>
    </r>
    <r>
      <rPr>
        <sz val="10"/>
        <color theme="1"/>
        <rFont val="Montserrat Medium"/>
        <family val="3"/>
      </rPr>
      <t>(MUSD2020/MW/year)</t>
    </r>
  </si>
  <si>
    <t>1. The uncertainty is calculated with the similar numerical behaviour from [1]. 
2. The exchange ratio for 2030 is estimated by linear regression between the exchange ratio 2020 and 2050.</t>
  </si>
  <si>
    <r>
      <t xml:space="preserve">Energy storage capacity for one unit </t>
    </r>
    <r>
      <rPr>
        <sz val="10"/>
        <color theme="1"/>
        <rFont val="Montserrat Medium"/>
        <family val="3"/>
      </rPr>
      <t>(MWh)</t>
    </r>
  </si>
  <si>
    <r>
      <t xml:space="preserve">Output capacity for one unit </t>
    </r>
    <r>
      <rPr>
        <sz val="10"/>
        <color theme="1"/>
        <rFont val="Montserrat Medium"/>
        <family val="3"/>
      </rPr>
      <t>(MW)</t>
    </r>
  </si>
  <si>
    <r>
      <t xml:space="preserve">Input capacity for one unit </t>
    </r>
    <r>
      <rPr>
        <sz val="10"/>
        <color theme="1"/>
        <rFont val="Montserrat Medium"/>
        <family val="3"/>
      </rPr>
      <t>(MW)</t>
    </r>
  </si>
  <si>
    <r>
      <t xml:space="preserve">Energy losses during storage </t>
    </r>
    <r>
      <rPr>
        <sz val="10"/>
        <color theme="1"/>
        <rFont val="Montserrat Medium"/>
        <family val="3"/>
      </rPr>
      <t>(%/day)</t>
    </r>
  </si>
  <si>
    <r>
      <t xml:space="preserve">Forced outage </t>
    </r>
    <r>
      <rPr>
        <sz val="10"/>
        <color theme="1"/>
        <rFont val="Montserrat Medium"/>
        <family val="3"/>
      </rPr>
      <t>(%)</t>
    </r>
  </si>
  <si>
    <r>
      <t xml:space="preserve">Planned outage </t>
    </r>
    <r>
      <rPr>
        <sz val="10"/>
        <color theme="1"/>
        <rFont val="Montserrat Medium"/>
        <family val="3"/>
      </rPr>
      <t>(weeks per year)</t>
    </r>
  </si>
  <si>
    <r>
      <t xml:space="preserve">Construction time </t>
    </r>
    <r>
      <rPr>
        <sz val="10"/>
        <color theme="1"/>
        <rFont val="Montserrat Medium"/>
        <family val="3"/>
      </rPr>
      <t>(years)</t>
    </r>
  </si>
  <si>
    <r>
      <t xml:space="preserve">Response time from idle to full-rated discharge </t>
    </r>
    <r>
      <rPr>
        <sz val="10"/>
        <color theme="1"/>
        <rFont val="Montserrat Medium"/>
        <family val="3"/>
      </rPr>
      <t>(sec)</t>
    </r>
  </si>
  <si>
    <r>
      <t xml:space="preserve">Response time from full-rated charge to full-rated  discharge </t>
    </r>
    <r>
      <rPr>
        <sz val="10"/>
        <color theme="1"/>
        <rFont val="Montserrat Medium"/>
        <family val="3"/>
      </rPr>
      <t>(sec)</t>
    </r>
  </si>
  <si>
    <r>
      <t xml:space="preserve">Specific investment </t>
    </r>
    <r>
      <rPr>
        <sz val="10"/>
        <color theme="1"/>
        <rFont val="Montserrat Medium"/>
        <family val="3"/>
      </rPr>
      <t>(MUSD2020 per MWh)</t>
    </r>
  </si>
  <si>
    <r>
      <t xml:space="preserve">  -Energy component </t>
    </r>
    <r>
      <rPr>
        <sz val="10"/>
        <color theme="1"/>
        <rFont val="Montserrat Medium"/>
        <family val="3"/>
      </rPr>
      <t>(MUSD2020/MWh)</t>
    </r>
  </si>
  <si>
    <r>
      <t xml:space="preserve">  -Capacity component </t>
    </r>
    <r>
      <rPr>
        <sz val="10"/>
        <color theme="1"/>
        <rFont val="Montserrat Medium"/>
        <family val="3"/>
      </rPr>
      <t>(MUSD2020/MW)</t>
    </r>
  </si>
  <si>
    <r>
      <t xml:space="preserve">Variable O&amp;M </t>
    </r>
    <r>
      <rPr>
        <sz val="10"/>
        <color theme="1"/>
        <rFont val="Montserrat Medium"/>
        <family val="3"/>
      </rPr>
      <t>(USD2020/MWh/year)</t>
    </r>
  </si>
  <si>
    <r>
      <t xml:space="preserve">Alternative investment cost </t>
    </r>
    <r>
      <rPr>
        <sz val="10"/>
        <color theme="1"/>
        <rFont val="Montserrat Medium"/>
        <family val="3"/>
      </rPr>
      <t>(MUSD2020 per MW)</t>
    </r>
  </si>
  <si>
    <r>
      <t xml:space="preserve">Specific power </t>
    </r>
    <r>
      <rPr>
        <sz val="10"/>
        <color theme="1"/>
        <rFont val="Montserrat Medium"/>
        <family val="3"/>
      </rPr>
      <t>(W/kg)</t>
    </r>
  </si>
  <si>
    <r>
      <t xml:space="preserve">Power density </t>
    </r>
    <r>
      <rPr>
        <sz val="10"/>
        <color theme="1"/>
        <rFont val="Montserrat Medium"/>
        <family val="3"/>
      </rPr>
      <t>(kW/m3)</t>
    </r>
  </si>
  <si>
    <r>
      <t>Specific energy</t>
    </r>
    <r>
      <rPr>
        <sz val="10"/>
        <color theme="1"/>
        <rFont val="Montserrat Medium"/>
        <family val="3"/>
      </rPr>
      <t xml:space="preserve"> (Wh/kg)</t>
    </r>
  </si>
  <si>
    <r>
      <t xml:space="preserve">Energy density </t>
    </r>
    <r>
      <rPr>
        <sz val="10"/>
        <color theme="1"/>
        <rFont val="Montserrat Medium"/>
        <family val="3"/>
      </rPr>
      <t>(kWh/m3)</t>
    </r>
  </si>
  <si>
    <r>
      <t xml:space="preserve"> - </t>
    </r>
    <r>
      <rPr>
        <b/>
        <i/>
        <sz val="10"/>
        <color theme="1"/>
        <rFont val="Montserrat Medium"/>
        <family val="3"/>
      </rPr>
      <t>Charge efficiency (%)</t>
    </r>
  </si>
  <si>
    <r>
      <t xml:space="preserve"> - Discharge efficiency </t>
    </r>
    <r>
      <rPr>
        <i/>
        <sz val="10"/>
        <color theme="1"/>
        <rFont val="Montserrat Medium"/>
        <family val="3"/>
      </rPr>
      <t>(%)</t>
    </r>
  </si>
  <si>
    <t>1. The trend of the data for these parameters (in this case constant) was identified in reference [2] for VRB batteries. 
2. The data of years 2016, 2020, 2025, and 2030 was obtained from [1] and it is located within the IRENA tool as "Usable Storage Capacity" and "Installed Storage".</t>
  </si>
  <si>
    <t>[2-6]</t>
  </si>
  <si>
    <t>1. The data for year 2020 is the average of several authors [2-6]. 2. It is considered these parameters will not have a variation in the period 2030-2050 due it technological maturity.</t>
  </si>
  <si>
    <t>1. The trend of the data for these parameters (in this case constant) was identified in reference [2] for VRB batteries. 2. The data of years 2016, 2020, 2025, and 2030 was obtained from [1] and it is located within the IRENA tool as "Self-discharge"</t>
  </si>
  <si>
    <t>1. The trend of the data for these parameters (in this case constant) was identified in reference [2] for VRB batteries. 
2. The data of years 2020, 2030, and 2050 was obtained from [2].</t>
  </si>
  <si>
    <t>[2, 4]</t>
  </si>
  <si>
    <t>1. The data for year 2020 is the average of several authors [2, 4]. 2. It is considered these parameters will not have a variation in the period 2030-2050 due it technological maturity.</t>
  </si>
  <si>
    <t>1. The trend of the data for these parameters (in this case constant) was identified in reference [2] VRB for batteries. 2. The data for 2020 is the average of several authors (as shown [2-4])</t>
  </si>
  <si>
    <t>1. The trend of the data for these parameters (in this case constant) was identified in reference [2] for batteries. 2. The data of years 2020, 2030, and 2050 was obtained from [2].</t>
  </si>
  <si>
    <t>1. This technical data was calculated with an equation for Round Trip Efficiency.  2. In the chapter of Introduccion of the Catalogue, it is defined the equation of Round Trip Efficiency.</t>
  </si>
  <si>
    <t>1. This parameter data was calculated with an equation for Specific Investment. 2. In the chapter of Introduccion of the Catalogue, it is defined the equation of Specific Investment.</t>
  </si>
  <si>
    <r>
      <t xml:space="preserve">1.The data of years 2016, 2020, 2025, and 2030 was obtained from [1]. 2.  These data is located within the IRENA tool as "Energy installation cost" and "Power installation cost". 3. The exponential projection is determinated in bottom flap called </t>
    </r>
    <r>
      <rPr>
        <b/>
        <sz val="10"/>
        <color theme="1"/>
        <rFont val="Montserrat Medium"/>
        <family val="3"/>
      </rPr>
      <t>17_EC and 18_CC</t>
    </r>
  </si>
  <si>
    <t>1. The trend of the data for these parameters (in this case exponential decrease) was identified in reference [2] for VRB batteries. 2. The data of years 2020, 2030, and 2050 were obtained from [2].</t>
  </si>
  <si>
    <t>1.  The data of years 2020, 2030, and 2050 showed in this sheets from [2]. 2. The selected data for 2020 is a point data types from [8] (see Table A9). 3. The projections have similar numerical behavior to [2] with the estimated exchange ratio applied to estimated the projection of the value from [8].</t>
  </si>
  <si>
    <t>1. This data was calculated with an Alternative Investment Cost equation (see NaS sheet). 2. In the chapter of Introduccion of the Catalogue, it is defined the equation of Alternative Investment Cost.</t>
  </si>
  <si>
    <t>1. The trend of the data for these parameters (in this case constant) was identified in reference [2] for VRB batteries. 2. The data of years 2016, 2020, 2025, and 2030 was obtained from [1] and it is localated within the IRENA tool as "Cyce life"</t>
  </si>
  <si>
    <t>2. The data of years 2020, 2030, and 2050 were obtained from [2].</t>
  </si>
  <si>
    <t>1. This technical data was calculated with a Specific Power equation (see LA sheet). 2. In the chapter of Introduccion of the Catalogue, it is defined the equation of Specific Power.</t>
  </si>
  <si>
    <t>1. The uncertainty for these parameters has the same to [1] because the design is based on the same operational capacities of the energy storage system. 2. This data is located within the IRENA tool as "Usable Storage Capacity" and "Installed storage power"</t>
  </si>
  <si>
    <t>1. The uncertainty for these parameters has the same to [1] because the design is based on the same operational capacities of the energy storage system. 2. This data is located within the IRENA tool as "Self-discharge"</t>
  </si>
  <si>
    <t>1. The uncertainty for these parameters has the same to [2] because the design is based on the same operational capacities of the energy storage system.</t>
  </si>
  <si>
    <t>1. The uncertainty for these parameters has the same to [1] because the design is based on the same operational capacities of the energy storage system. 2. This data is located within the IRENA tool as "Energy installation cost" and "Power installation cost"</t>
  </si>
  <si>
    <t>1. The uncertainty for these parameters has the same to [8] because the design is based on the same operational capacities of the energy storage system</t>
  </si>
  <si>
    <t>1. The uncertainty for these parameters has the same to [1] because the design is based on the same operational capacities of the energy storage system. 2. This data is located within the IRENA tool as "Cycle life"</t>
  </si>
  <si>
    <t>Alternative Investment cost (M$USD2020/MW)</t>
  </si>
  <si>
    <r>
      <t xml:space="preserve"> - </t>
    </r>
    <r>
      <rPr>
        <i/>
        <sz val="9"/>
        <color theme="1"/>
        <rFont val="Montserrat Medium"/>
        <family val="3"/>
      </rPr>
      <t>Charge efficiency (%)</t>
    </r>
  </si>
  <si>
    <r>
      <t xml:space="preserve"> energy component </t>
    </r>
    <r>
      <rPr>
        <sz val="9"/>
        <color rgb="FF000000"/>
        <rFont val="Montserrat Medium"/>
        <family val="3"/>
      </rPr>
      <t>(MUSD2020 per MWh)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</si>
</sst>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 ;_ * \-#,##0.00_ ;_ * &quot;-&quot;??_ ;_ @_ "/>
    <numFmt numFmtId="165" formatCode="0.0000"/>
    <numFmt numFmtId="166" formatCode="0.0"/>
    <numFmt numFmtId="167" formatCode="0.000"/>
  </numFmts>
  <fonts count="29" x14ac:knownFonts="1">
    <font>
      <sz val="11"/>
      <color theme="1"/>
      <name val="Calibri"/>
      <family val="2"/>
      <scheme val="minor"/>
    </font>
    <font>
      <sz val="11"/>
      <color theme="1"/>
      <name val="Calibri"/>
      <family val="2"/>
      <scheme val="minor"/>
    </font>
    <font>
      <sz val="10"/>
      <name val="Helv"/>
    </font>
    <font>
      <u/>
      <sz val="10"/>
      <color indexed="12"/>
      <name val="Arial"/>
      <family val="2"/>
    </font>
    <font>
      <u/>
      <sz val="11"/>
      <color theme="10"/>
      <name val="Calibri"/>
      <family val="2"/>
      <scheme val="minor"/>
    </font>
    <font>
      <sz val="11"/>
      <color indexed="62"/>
      <name val="Calibri"/>
      <family val="2"/>
    </font>
    <font>
      <sz val="11"/>
      <color indexed="60"/>
      <name val="Calibri"/>
      <family val="2"/>
    </font>
    <font>
      <sz val="10"/>
      <name val="Arial"/>
      <family val="2"/>
    </font>
    <font>
      <b/>
      <sz val="11"/>
      <color indexed="63"/>
      <name val="Calibri"/>
      <family val="2"/>
    </font>
    <font>
      <b/>
      <sz val="11"/>
      <color indexed="8"/>
      <name val="Calibri"/>
      <family val="2"/>
    </font>
    <font>
      <b/>
      <sz val="8"/>
      <color theme="1"/>
      <name val="Montserrat Medium"/>
      <family val="3"/>
    </font>
    <font>
      <sz val="11"/>
      <color theme="1"/>
      <name val="Montserrat Medium"/>
      <family val="3"/>
    </font>
    <font>
      <sz val="8"/>
      <color theme="1"/>
      <name val="Montserrat Medium"/>
      <family val="3"/>
    </font>
    <font>
      <sz val="8"/>
      <name val="Montserrat Medium"/>
      <family val="3"/>
    </font>
    <font>
      <b/>
      <sz val="8"/>
      <color rgb="FF000000"/>
      <name val="Montserrat Medium"/>
      <family val="3"/>
    </font>
    <font>
      <sz val="9"/>
      <color theme="1"/>
      <name val="Montserrat Medium"/>
      <family val="3"/>
    </font>
    <font>
      <b/>
      <sz val="9"/>
      <color theme="1"/>
      <name val="Montserrat Medium"/>
      <family val="3"/>
    </font>
    <font>
      <b/>
      <sz val="10"/>
      <color theme="1"/>
      <name val="Montserrat Medium"/>
      <family val="3"/>
    </font>
    <font>
      <sz val="10"/>
      <color theme="1"/>
      <name val="Montserrat Medium"/>
      <family val="3"/>
    </font>
    <font>
      <sz val="10"/>
      <name val="Montserrat Medium"/>
      <family val="3"/>
    </font>
    <font>
      <i/>
      <sz val="10"/>
      <color theme="1"/>
      <name val="Montserrat Medium"/>
      <family val="3"/>
    </font>
    <font>
      <b/>
      <sz val="10"/>
      <color rgb="FF000000"/>
      <name val="Montserrat Medium"/>
      <family val="3"/>
    </font>
    <font>
      <b/>
      <sz val="10"/>
      <name val="Montserrat Medium"/>
      <family val="3"/>
    </font>
    <font>
      <b/>
      <sz val="11"/>
      <color theme="1"/>
      <name val="Montserrat Medium"/>
      <family val="3"/>
    </font>
    <font>
      <b/>
      <i/>
      <sz val="10"/>
      <color theme="1"/>
      <name val="Montserrat Medium"/>
      <family val="3"/>
    </font>
    <font>
      <sz val="9"/>
      <name val="Montserrat Medium"/>
      <family val="3"/>
    </font>
    <font>
      <i/>
      <sz val="9"/>
      <color theme="1"/>
      <name val="Montserrat Medium"/>
      <family val="3"/>
    </font>
    <font>
      <sz val="9"/>
      <color rgb="FF000000"/>
      <name val="Montserrat Medium"/>
      <family val="3"/>
    </font>
    <font>
      <b/>
      <sz val="9"/>
      <color rgb="FF000000"/>
      <name val="Montserrat Medium"/>
      <family val="3"/>
    </font>
  </fonts>
  <fills count="5">
    <fill>
      <patternFill patternType="none"/>
    </fill>
    <fill>
      <patternFill patternType="gray125"/>
    </fill>
    <fill>
      <patternFill patternType="solid">
        <fgColor indexed="47"/>
      </patternFill>
    </fill>
    <fill>
      <patternFill patternType="solid">
        <fgColor indexed="43"/>
      </patternFill>
    </fill>
    <fill>
      <patternFill patternType="solid">
        <fgColor indexed="22"/>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4">
    <xf numFmtId="0" fontId="0" fillId="0" borderId="0" applyFill="0" applyBorder="0" applyProtection="0"/>
    <xf numFmtId="43" fontId="1" fillId="0" borderId="0" applyFont="0" applyFill="0" applyBorder="0" applyAlignment="0" applyProtection="0"/>
    <xf numFmtId="164" fontId="1" fillId="0" borderId="0" applyFont="0" applyFill="0" applyBorder="0" applyAlignment="0" applyProtection="0"/>
    <xf numFmtId="0" fontId="2" fillId="0" borderId="0"/>
    <xf numFmtId="0" fontId="2"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xf numFmtId="0" fontId="5" fillId="2" borderId="7" applyNumberFormat="0" applyAlignment="0" applyProtection="0"/>
    <xf numFmtId="43" fontId="1" fillId="0" borderId="0" applyFont="0" applyFill="0" applyBorder="0" applyAlignment="0" applyProtection="0"/>
    <xf numFmtId="164" fontId="2" fillId="0" borderId="0" applyFont="0" applyFill="0" applyBorder="0" applyAlignment="0" applyProtection="0"/>
    <xf numFmtId="0" fontId="4" fillId="0" borderId="0" applyNumberFormat="0" applyFill="0" applyBorder="0" applyAlignment="0" applyProtection="0"/>
    <xf numFmtId="0" fontId="6" fillId="3" borderId="0" applyNumberFormat="0" applyBorder="0" applyAlignment="0" applyProtection="0"/>
    <xf numFmtId="0" fontId="7" fillId="0" borderId="0"/>
    <xf numFmtId="0" fontId="2" fillId="0" borderId="0"/>
    <xf numFmtId="0" fontId="1" fillId="0" borderId="0"/>
    <xf numFmtId="0" fontId="7" fillId="0" borderId="0"/>
    <xf numFmtId="0" fontId="7" fillId="0" borderId="0"/>
    <xf numFmtId="0" fontId="8" fillId="4" borderId="8" applyNumberFormat="0" applyAlignment="0" applyProtection="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 fillId="0" borderId="9" applyNumberFormat="0" applyFill="0" applyAlignment="0" applyProtection="0"/>
    <xf numFmtId="9" fontId="1" fillId="0" borderId="0" applyFont="0" applyFill="0" applyBorder="0" applyAlignment="0" applyProtection="0"/>
  </cellStyleXfs>
  <cellXfs count="113">
    <xf numFmtId="0" fontId="0" fillId="0" borderId="0" xfId="0"/>
    <xf numFmtId="0" fontId="18" fillId="0" borderId="0" xfId="0" applyFont="1" applyFill="1"/>
    <xf numFmtId="0" fontId="19" fillId="0" borderId="0" xfId="0" applyFont="1" applyFill="1" applyAlignment="1">
      <alignment horizontal="right" vertical="center" wrapText="1"/>
    </xf>
    <xf numFmtId="0" fontId="18" fillId="0" borderId="0" xfId="0" applyFont="1" applyFill="1" applyAlignment="1">
      <alignment horizontal="right" vertical="center" wrapText="1"/>
    </xf>
    <xf numFmtId="0" fontId="18" fillId="0" borderId="0" xfId="14" applyFont="1" applyFill="1"/>
    <xf numFmtId="0" fontId="18" fillId="0" borderId="0" xfId="0" applyFont="1" applyFill="1" applyAlignment="1">
      <alignment horizontal="left" vertical="center" readingOrder="1"/>
    </xf>
    <xf numFmtId="0" fontId="18" fillId="0" borderId="0" xfId="0" applyFont="1" applyFill="1" applyAlignment="1">
      <alignment horizontal="right"/>
    </xf>
    <xf numFmtId="0" fontId="18" fillId="0" borderId="1" xfId="0" applyFont="1" applyFill="1" applyBorder="1" applyAlignment="1">
      <alignment horizontal="center" vertical="center" wrapText="1"/>
    </xf>
    <xf numFmtId="167" fontId="18" fillId="0" borderId="1"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1" fillId="0" borderId="0" xfId="0" applyFont="1" applyFill="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22" fillId="0" borderId="0" xfId="0" applyFont="1" applyFill="1" applyAlignment="1">
      <alignment horizontal="right" vertical="center"/>
    </xf>
    <xf numFmtId="0" fontId="18" fillId="0" borderId="0" xfId="13" applyFont="1" applyFill="1"/>
    <xf numFmtId="0" fontId="17" fillId="0" borderId="0" xfId="0" applyFont="1" applyFill="1" applyAlignment="1">
      <alignment horizontal="left" vertical="center" wrapText="1"/>
    </xf>
    <xf numFmtId="0" fontId="17" fillId="0" borderId="0" xfId="0" applyFont="1" applyFill="1" applyAlignment="1">
      <alignment horizontal="center" vertical="center" wrapText="1"/>
    </xf>
    <xf numFmtId="0" fontId="18" fillId="0" borderId="0" xfId="0" applyFont="1" applyFill="1" applyAlignment="1">
      <alignment horizontal="center" vertical="center" wrapText="1"/>
    </xf>
    <xf numFmtId="0" fontId="17" fillId="0" borderId="0" xfId="0" applyFont="1" applyFill="1" applyAlignment="1">
      <alignment horizontal="center"/>
    </xf>
    <xf numFmtId="0" fontId="10" fillId="0" borderId="0" xfId="0" applyFont="1" applyFill="1" applyAlignment="1">
      <alignment horizontal="center" vertical="center" wrapText="1"/>
    </xf>
    <xf numFmtId="165" fontId="11" fillId="0" borderId="0" xfId="23" applyNumberFormat="1" applyFont="1" applyFill="1" applyAlignment="1">
      <alignment horizontal="center" vertical="center" wrapText="1"/>
    </xf>
    <xf numFmtId="1" fontId="11" fillId="0" borderId="0" xfId="0" applyNumberFormat="1" applyFont="1" applyFill="1" applyAlignment="1">
      <alignment horizontal="center" vertical="center" wrapText="1"/>
    </xf>
    <xf numFmtId="0" fontId="12" fillId="0" borderId="0" xfId="0" applyFont="1" applyFill="1" applyAlignment="1">
      <alignment horizontal="center" vertical="center" wrapText="1"/>
    </xf>
    <xf numFmtId="166" fontId="11" fillId="0" borderId="0" xfId="0" applyNumberFormat="1" applyFont="1" applyFill="1" applyAlignment="1">
      <alignment horizontal="center" vertical="center"/>
    </xf>
    <xf numFmtId="166" fontId="11" fillId="0" borderId="0" xfId="0" applyNumberFormat="1" applyFont="1" applyFill="1" applyAlignment="1">
      <alignment horizontal="center" vertical="center" wrapText="1"/>
    </xf>
    <xf numFmtId="167" fontId="11" fillId="0" borderId="0" xfId="0" applyNumberFormat="1" applyFont="1" applyFill="1" applyAlignment="1">
      <alignment horizontal="center" vertical="center" wrapText="1"/>
    </xf>
    <xf numFmtId="2" fontId="11" fillId="0" borderId="0" xfId="0" applyNumberFormat="1" applyFont="1" applyFill="1" applyAlignment="1">
      <alignment horizontal="center" vertical="center" wrapText="1"/>
    </xf>
    <xf numFmtId="167" fontId="11" fillId="0" borderId="0" xfId="23" applyNumberFormat="1" applyFont="1" applyFill="1" applyAlignment="1">
      <alignment horizontal="center" vertical="center" wrapText="1"/>
    </xf>
    <xf numFmtId="167" fontId="11" fillId="0" borderId="0" xfId="0" applyNumberFormat="1" applyFont="1" applyFill="1" applyAlignment="1">
      <alignment horizontal="center" vertical="center"/>
    </xf>
    <xf numFmtId="2" fontId="11" fillId="0" borderId="0" xfId="0" applyNumberFormat="1" applyFont="1" applyFill="1" applyAlignment="1">
      <alignment horizontal="center" vertical="center"/>
    </xf>
    <xf numFmtId="0" fontId="18" fillId="0" borderId="0" xfId="0" applyFont="1" applyFill="1" applyAlignment="1">
      <alignment horizontal="left" vertical="center" wrapText="1"/>
    </xf>
    <xf numFmtId="0" fontId="23" fillId="0" borderId="0" xfId="0" applyFont="1" applyFill="1" applyAlignment="1">
      <alignment horizontal="center" vertical="center" wrapText="1"/>
    </xf>
    <xf numFmtId="0" fontId="11" fillId="0" borderId="0" xfId="0" applyFont="1" applyFill="1" applyAlignment="1">
      <alignment horizontal="center" vertical="center"/>
    </xf>
    <xf numFmtId="167" fontId="18" fillId="0" borderId="1" xfId="23" applyNumberFormat="1" applyFont="1" applyFill="1" applyBorder="1" applyAlignment="1">
      <alignment horizontal="center" vertical="center" wrapText="1"/>
    </xf>
    <xf numFmtId="0" fontId="18" fillId="0" borderId="0" xfId="0" applyFont="1" applyFill="1" applyAlignment="1">
      <alignment horizontal="left" vertical="center"/>
    </xf>
    <xf numFmtId="0" fontId="18" fillId="0" borderId="1"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0" xfId="0" applyFont="1" applyFill="1" applyAlignment="1">
      <alignment vertical="center"/>
    </xf>
    <xf numFmtId="0" fontId="16" fillId="0" borderId="0" xfId="0" applyFont="1" applyFill="1" applyBorder="1" applyAlignment="1">
      <alignment vertical="top" wrapText="1"/>
    </xf>
    <xf numFmtId="0" fontId="11" fillId="0" borderId="0" xfId="0" applyFont="1" applyFill="1" applyBorder="1" applyAlignment="1">
      <alignment vertical="center" wrapText="1"/>
    </xf>
    <xf numFmtId="0" fontId="11" fillId="0" borderId="0" xfId="0" applyFont="1" applyFill="1" applyAlignment="1">
      <alignment vertical="center" wrapText="1"/>
    </xf>
    <xf numFmtId="0" fontId="24" fillId="0" borderId="1" xfId="0" applyFont="1" applyFill="1" applyBorder="1" applyAlignment="1">
      <alignment horizontal="left" vertical="center" wrapText="1"/>
    </xf>
    <xf numFmtId="0" fontId="16" fillId="0" borderId="0" xfId="0" applyFont="1" applyFill="1" applyBorder="1" applyAlignment="1">
      <alignment vertical="top"/>
    </xf>
    <xf numFmtId="0" fontId="16"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27" fillId="0" borderId="1" xfId="0" applyFont="1" applyFill="1" applyBorder="1" applyAlignment="1">
      <alignment horizontal="left" vertical="center" wrapText="1"/>
    </xf>
    <xf numFmtId="167" fontId="15" fillId="0" borderId="1" xfId="0" applyNumberFormat="1" applyFont="1" applyFill="1" applyBorder="1" applyAlignment="1">
      <alignment horizontal="center" vertical="center" wrapText="1"/>
    </xf>
    <xf numFmtId="167" fontId="27" fillId="0" borderId="1" xfId="0" applyNumberFormat="1" applyFont="1" applyFill="1" applyBorder="1" applyAlignment="1">
      <alignment horizontal="center" vertical="center" wrapText="1"/>
    </xf>
    <xf numFmtId="2" fontId="27" fillId="0" borderId="1" xfId="0" applyNumberFormat="1" applyFont="1" applyFill="1" applyBorder="1" applyAlignment="1">
      <alignment horizontal="center" vertical="center" wrapText="1"/>
    </xf>
    <xf numFmtId="166" fontId="27" fillId="0" borderId="1" xfId="0" applyNumberFormat="1" applyFont="1" applyFill="1" applyBorder="1" applyAlignment="1">
      <alignment horizontal="center" vertical="center" wrapText="1"/>
    </xf>
    <xf numFmtId="0" fontId="28" fillId="0" borderId="4" xfId="0" applyFont="1" applyFill="1" applyBorder="1" applyAlignment="1">
      <alignment horizontal="center" vertical="center" wrapText="1"/>
    </xf>
    <xf numFmtId="1" fontId="27"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6"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7" fillId="0" borderId="0" xfId="0" applyFont="1" applyFill="1" applyAlignment="1">
      <alignment horizontal="center" vertical="center" wrapText="1"/>
    </xf>
    <xf numFmtId="0" fontId="12" fillId="0" borderId="0" xfId="0" applyFont="1" applyFill="1" applyAlignment="1">
      <alignment horizontal="center" vertical="center" wrapText="1"/>
    </xf>
    <xf numFmtId="0" fontId="18" fillId="0" borderId="0" xfId="0" applyFont="1" applyFill="1" applyAlignment="1">
      <alignment horizontal="center" vertical="center" wrapText="1"/>
    </xf>
    <xf numFmtId="0" fontId="11" fillId="0" borderId="0" xfId="0" applyFont="1" applyFill="1" applyAlignment="1">
      <alignment horizontal="center" vertical="center" wrapText="1"/>
    </xf>
    <xf numFmtId="0" fontId="18"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5" fillId="0" borderId="2"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10" xfId="0" applyFont="1" applyFill="1" applyBorder="1" applyAlignment="1">
      <alignment horizontal="left" vertical="top"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16" fillId="0" borderId="19" xfId="0" applyFont="1" applyFill="1" applyBorder="1" applyAlignment="1">
      <alignment vertical="center" wrapText="1"/>
    </xf>
    <xf numFmtId="0" fontId="16" fillId="0" borderId="20"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5" fillId="0" borderId="22" xfId="0" applyFont="1" applyFill="1" applyBorder="1" applyAlignment="1">
      <alignment vertical="center" wrapText="1"/>
    </xf>
    <xf numFmtId="0" fontId="16" fillId="0" borderId="23" xfId="0" applyFont="1" applyFill="1" applyBorder="1" applyAlignment="1">
      <alignment horizontal="center" vertical="center" wrapText="1"/>
    </xf>
    <xf numFmtId="0" fontId="16" fillId="0" borderId="22" xfId="0" applyFont="1" applyFill="1" applyBorder="1" applyAlignment="1">
      <alignment vertical="center" wrapText="1"/>
    </xf>
    <xf numFmtId="0" fontId="16" fillId="0" borderId="23" xfId="0" applyFont="1" applyFill="1" applyBorder="1" applyAlignment="1">
      <alignment vertical="center" wrapText="1"/>
    </xf>
    <xf numFmtId="0" fontId="15" fillId="0" borderId="23" xfId="0" applyFont="1" applyFill="1" applyBorder="1" applyAlignment="1">
      <alignment horizontal="center" vertical="center" wrapText="1"/>
    </xf>
    <xf numFmtId="0" fontId="15" fillId="0" borderId="22" xfId="0" applyFont="1" applyFill="1" applyBorder="1" applyAlignment="1">
      <alignment horizontal="left" vertical="center" wrapText="1"/>
    </xf>
    <xf numFmtId="0" fontId="27" fillId="0" borderId="24" xfId="0" applyFont="1" applyFill="1" applyBorder="1" applyAlignment="1">
      <alignment vertical="center" wrapText="1"/>
    </xf>
    <xf numFmtId="0" fontId="15" fillId="0" borderId="25" xfId="0" applyFont="1" applyFill="1" applyBorder="1" applyAlignment="1">
      <alignment horizontal="center" vertical="center" wrapText="1"/>
    </xf>
    <xf numFmtId="0" fontId="16" fillId="0" borderId="22"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27" fillId="0" borderId="22" xfId="0" applyFont="1" applyFill="1" applyBorder="1" applyAlignment="1">
      <alignment horizontal="left" vertical="center" wrapText="1"/>
    </xf>
    <xf numFmtId="0" fontId="15" fillId="0" borderId="24" xfId="0" applyFont="1" applyFill="1" applyBorder="1" applyAlignment="1">
      <alignment vertical="center" wrapText="1"/>
    </xf>
    <xf numFmtId="0" fontId="28" fillId="0" borderId="22" xfId="0" applyFont="1" applyFill="1" applyBorder="1" applyAlignment="1">
      <alignment horizontal="left" vertical="center" wrapText="1"/>
    </xf>
    <xf numFmtId="0" fontId="28" fillId="0" borderId="26" xfId="0" applyFont="1" applyFill="1" applyBorder="1" applyAlignment="1">
      <alignment horizontal="center" vertical="center" wrapText="1"/>
    </xf>
    <xf numFmtId="0" fontId="25" fillId="0" borderId="27" xfId="0" applyFont="1" applyFill="1" applyBorder="1" applyAlignment="1">
      <alignment horizontal="left" vertical="center" wrapText="1"/>
    </xf>
    <xf numFmtId="0" fontId="27" fillId="0" borderId="28"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27" fillId="0" borderId="28" xfId="0" applyFont="1" applyFill="1" applyBorder="1" applyAlignment="1">
      <alignment horizontal="left" vertical="center" wrapText="1"/>
    </xf>
    <xf numFmtId="0" fontId="15" fillId="0" borderId="29" xfId="0" applyFont="1" applyFill="1" applyBorder="1" applyAlignment="1">
      <alignment horizontal="center" vertical="center" wrapText="1"/>
    </xf>
  </cellXfs>
  <cellStyles count="24">
    <cellStyle name="Comma 2" xfId="1" xr:uid="{00000000-0005-0000-0000-000000000000}"/>
    <cellStyle name="Comma 3" xfId="2" xr:uid="{00000000-0005-0000-0000-000001000000}"/>
    <cellStyle name="Comma0 - Type3" xfId="3" xr:uid="{00000000-0005-0000-0000-000002000000}"/>
    <cellStyle name="Fixed2 - Type2" xfId="4" xr:uid="{00000000-0005-0000-0000-000003000000}"/>
    <cellStyle name="Hyperlink 2" xfId="5" xr:uid="{00000000-0005-0000-0000-000004000000}"/>
    <cellStyle name="Hyperlink 3" xfId="6" xr:uid="{00000000-0005-0000-0000-000005000000}"/>
    <cellStyle name="Input 2" xfId="7" xr:uid="{00000000-0005-0000-0000-000006000000}"/>
    <cellStyle name="Komma 2" xfId="8" xr:uid="{00000000-0005-0000-0000-000007000000}"/>
    <cellStyle name="Komma 3" xfId="9" xr:uid="{00000000-0005-0000-0000-000008000000}"/>
    <cellStyle name="Link 2" xfId="10" xr:uid="{00000000-0005-0000-0000-000009000000}"/>
    <cellStyle name="Neutral 2" xfId="11" xr:uid="{00000000-0005-0000-0000-00000A000000}"/>
    <cellStyle name="Normal" xfId="0" builtinId="0"/>
    <cellStyle name="Normal 10" xfId="12" xr:uid="{00000000-0005-0000-0000-00000C000000}"/>
    <cellStyle name="Normal 2" xfId="13" xr:uid="{00000000-0005-0000-0000-00000D000000}"/>
    <cellStyle name="Normal 3" xfId="14" xr:uid="{00000000-0005-0000-0000-00000E000000}"/>
    <cellStyle name="Normal 6" xfId="15" xr:uid="{00000000-0005-0000-0000-00000F000000}"/>
    <cellStyle name="Normal 6 2" xfId="16" xr:uid="{00000000-0005-0000-0000-000010000000}"/>
    <cellStyle name="Output 2" xfId="17" xr:uid="{00000000-0005-0000-0000-000011000000}"/>
    <cellStyle name="Percen - Type1" xfId="18" xr:uid="{00000000-0005-0000-0000-000012000000}"/>
    <cellStyle name="Percent 2" xfId="19" xr:uid="{00000000-0005-0000-0000-000013000000}"/>
    <cellStyle name="Porcentaje" xfId="23" builtinId="5"/>
    <cellStyle name="Procent 2" xfId="20" xr:uid="{00000000-0005-0000-0000-000015000000}"/>
    <cellStyle name="Procent 3" xfId="21" xr:uid="{00000000-0005-0000-0000-000016000000}"/>
    <cellStyle name="Total 2" xfId="22" xr:uid="{00000000-0005-0000-0000-00001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theme" Target="theme/theme1.xml"/><Relationship Id="rId10" Type="http://schemas.openxmlformats.org/officeDocument/2006/relationships/chartsheet" Target="chartsheets/sheet7.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6.7748271428631254E-2"/>
                  <c:y val="0.38085128334913304"/>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Uncertanties!$Q$2:$Q$3</c:f>
            </c:numRef>
          </c:xVal>
          <c:yVal>
            <c:numRef>
              <c:f>Uncertanties!$R$2:$R$3</c:f>
            </c:numRef>
          </c:yVal>
          <c:smooth val="1"/>
          <c:extLst>
            <c:ext xmlns:c16="http://schemas.microsoft.com/office/drawing/2014/chart" uri="{C3380CC4-5D6E-409C-BE32-E72D297353CC}">
              <c16:uniqueId val="{00000000-A7E6-4CD3-BF25-487CB0C2FA78}"/>
            </c:ext>
          </c:extLst>
        </c:ser>
        <c:dLbls>
          <c:showLegendKey val="0"/>
          <c:showVal val="0"/>
          <c:showCatName val="0"/>
          <c:showSerName val="0"/>
          <c:showPercent val="0"/>
          <c:showBubbleSize val="0"/>
        </c:dLbls>
        <c:axId val="167389056"/>
        <c:axId val="167469440"/>
      </c:scatterChart>
      <c:valAx>
        <c:axId val="1673890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7469440"/>
        <c:crosses val="autoZero"/>
        <c:crossBetween val="midCat"/>
      </c:valAx>
      <c:valAx>
        <c:axId val="167469440"/>
        <c:scaling>
          <c:orientation val="minMax"/>
          <c:max val="-0.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738905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5.2452848383010328E-2"/>
                  <c:y val="0.5527983956839990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Uncertanties!$Q$2:$Q$3</c:f>
            </c:numRef>
          </c:xVal>
          <c:yVal>
            <c:numRef>
              <c:f>Uncertanties!$S$2:$S$3</c:f>
            </c:numRef>
          </c:yVal>
          <c:smooth val="1"/>
          <c:extLst>
            <c:ext xmlns:c16="http://schemas.microsoft.com/office/drawing/2014/chart" uri="{C3380CC4-5D6E-409C-BE32-E72D297353CC}">
              <c16:uniqueId val="{00000000-79EA-428D-8CC3-E531E68CA8DE}"/>
            </c:ext>
          </c:extLst>
        </c:ser>
        <c:dLbls>
          <c:showLegendKey val="0"/>
          <c:showVal val="0"/>
          <c:showCatName val="0"/>
          <c:showSerName val="0"/>
          <c:showPercent val="0"/>
          <c:showBubbleSize val="0"/>
        </c:dLbls>
        <c:axId val="184530432"/>
        <c:axId val="184531968"/>
      </c:scatterChart>
      <c:valAx>
        <c:axId val="1845304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531968"/>
        <c:crosses val="autoZero"/>
        <c:crossBetween val="midCat"/>
      </c:valAx>
      <c:valAx>
        <c:axId val="184531968"/>
        <c:scaling>
          <c:orientation val="minMax"/>
          <c:min val="0.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5304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5.9565685067714223E-2"/>
                  <c:y val="0.58704034666495097"/>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Uncertanties!$T$3:$T$4</c:f>
            </c:numRef>
          </c:xVal>
          <c:yVal>
            <c:numRef>
              <c:f>Uncertanties!$U$3:$U$4</c:f>
            </c:numRef>
          </c:yVal>
          <c:smooth val="1"/>
          <c:extLst>
            <c:ext xmlns:c16="http://schemas.microsoft.com/office/drawing/2014/chart" uri="{C3380CC4-5D6E-409C-BE32-E72D297353CC}">
              <c16:uniqueId val="{00000000-58C0-4395-9CEC-A681E0B40F91}"/>
            </c:ext>
          </c:extLst>
        </c:ser>
        <c:dLbls>
          <c:showLegendKey val="0"/>
          <c:showVal val="0"/>
          <c:showCatName val="0"/>
          <c:showSerName val="0"/>
          <c:showPercent val="0"/>
          <c:showBubbleSize val="0"/>
        </c:dLbls>
        <c:axId val="184562432"/>
        <c:axId val="184563968"/>
      </c:scatterChart>
      <c:valAx>
        <c:axId val="1845624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563968"/>
        <c:crosses val="autoZero"/>
        <c:crossBetween val="midCat"/>
      </c:valAx>
      <c:valAx>
        <c:axId val="184563968"/>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5624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6.5326784257520046E-2"/>
                  <c:y val="0.51971686527816607"/>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Uncertanties!$T$3:$T$4</c:f>
            </c:numRef>
          </c:xVal>
          <c:yVal>
            <c:numRef>
              <c:f>Uncertanties!$V$3:$V$4</c:f>
            </c:numRef>
          </c:yVal>
          <c:smooth val="1"/>
          <c:extLst>
            <c:ext xmlns:c16="http://schemas.microsoft.com/office/drawing/2014/chart" uri="{C3380CC4-5D6E-409C-BE32-E72D297353CC}">
              <c16:uniqueId val="{00000000-4459-4EB6-A72F-214FF5DAE926}"/>
            </c:ext>
          </c:extLst>
        </c:ser>
        <c:dLbls>
          <c:showLegendKey val="0"/>
          <c:showVal val="0"/>
          <c:showCatName val="0"/>
          <c:showSerName val="0"/>
          <c:showPercent val="0"/>
          <c:showBubbleSize val="0"/>
        </c:dLbls>
        <c:axId val="184696832"/>
        <c:axId val="184698368"/>
      </c:scatterChart>
      <c:valAx>
        <c:axId val="1846968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698368"/>
        <c:crosses val="autoZero"/>
        <c:crossBetween val="midCat"/>
      </c:valAx>
      <c:valAx>
        <c:axId val="184698368"/>
        <c:scaling>
          <c:orientation val="minMax"/>
          <c:min val="0.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6968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9207612081835743"/>
                  <c:y val="-6.0936560768141815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Uncertanties!$W$4:$W$5</c:f>
            </c:numRef>
          </c:xVal>
          <c:yVal>
            <c:numRef>
              <c:f>Uncertanties!$X$4:$X$5</c:f>
            </c:numRef>
          </c:yVal>
          <c:smooth val="1"/>
          <c:extLst>
            <c:ext xmlns:c16="http://schemas.microsoft.com/office/drawing/2014/chart" uri="{C3380CC4-5D6E-409C-BE32-E72D297353CC}">
              <c16:uniqueId val="{00000000-960E-4F96-A2DA-264B946E66BF}"/>
            </c:ext>
          </c:extLst>
        </c:ser>
        <c:dLbls>
          <c:showLegendKey val="0"/>
          <c:showVal val="0"/>
          <c:showCatName val="0"/>
          <c:showSerName val="0"/>
          <c:showPercent val="0"/>
          <c:showBubbleSize val="0"/>
        </c:dLbls>
        <c:axId val="184740864"/>
        <c:axId val="184161024"/>
      </c:scatterChart>
      <c:valAx>
        <c:axId val="1847408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161024"/>
        <c:crosses val="autoZero"/>
        <c:crossBetween val="midCat"/>
      </c:valAx>
      <c:valAx>
        <c:axId val="184161024"/>
        <c:scaling>
          <c:orientation val="minMax"/>
          <c:max val="-0.15000000000000002"/>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74086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4932973127720617"/>
                  <c:y val="-6.9019683214397902E-3"/>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Uncertanties!$W$4:$W$5</c:f>
            </c:numRef>
          </c:xVal>
          <c:yVal>
            <c:numRef>
              <c:f>Uncertanties!$Y$4:$Y$5</c:f>
            </c:numRef>
          </c:yVal>
          <c:smooth val="1"/>
          <c:extLst>
            <c:ext xmlns:c16="http://schemas.microsoft.com/office/drawing/2014/chart" uri="{C3380CC4-5D6E-409C-BE32-E72D297353CC}">
              <c16:uniqueId val="{00000000-055C-4626-B2BA-679923229ED8}"/>
            </c:ext>
          </c:extLst>
        </c:ser>
        <c:dLbls>
          <c:showLegendKey val="0"/>
          <c:showVal val="0"/>
          <c:showCatName val="0"/>
          <c:showSerName val="0"/>
          <c:showPercent val="0"/>
          <c:showBubbleSize val="0"/>
        </c:dLbls>
        <c:axId val="184224000"/>
        <c:axId val="184238080"/>
      </c:scatterChart>
      <c:valAx>
        <c:axId val="1842240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238080"/>
        <c:crosses val="autoZero"/>
        <c:crossBetween val="midCat"/>
      </c:valAx>
      <c:valAx>
        <c:axId val="184238080"/>
        <c:scaling>
          <c:orientation val="minMax"/>
          <c:min val="0.60000000000000009"/>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22400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7.7080876640332766E-2"/>
                  <c:y val="2.0345421183779536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(Data!$C$2,Data!$D$2,Data!$E$2,Data!$F$2)</c:f>
              <c:numCache>
                <c:formatCode>General</c:formatCode>
                <c:ptCount val="4"/>
                <c:pt idx="0">
                  <c:v>2016</c:v>
                </c:pt>
                <c:pt idx="1">
                  <c:v>2020</c:v>
                </c:pt>
                <c:pt idx="2">
                  <c:v>2025</c:v>
                </c:pt>
                <c:pt idx="3">
                  <c:v>2030</c:v>
                </c:pt>
              </c:numCache>
            </c:numRef>
          </c:xVal>
          <c:yVal>
            <c:numRef>
              <c:f>(Data!$C$17,Data!$D$17,Data!$E$17,Data!$F$17)</c:f>
              <c:numCache>
                <c:formatCode>General</c:formatCode>
                <c:ptCount val="4"/>
                <c:pt idx="0">
                  <c:v>0.67462500000000003</c:v>
                </c:pt>
                <c:pt idx="1">
                  <c:v>0.52115</c:v>
                </c:pt>
                <c:pt idx="2">
                  <c:v>0.37874999999999998</c:v>
                </c:pt>
                <c:pt idx="3">
                  <c:v>0.27610000000000001</c:v>
                </c:pt>
              </c:numCache>
            </c:numRef>
          </c:yVal>
          <c:smooth val="1"/>
          <c:extLst>
            <c:ext xmlns:c16="http://schemas.microsoft.com/office/drawing/2014/chart" uri="{C3380CC4-5D6E-409C-BE32-E72D297353CC}">
              <c16:uniqueId val="{00000000-DC18-4C04-AEA4-367437E0BFED}"/>
            </c:ext>
          </c:extLst>
        </c:ser>
        <c:dLbls>
          <c:showLegendKey val="0"/>
          <c:showVal val="0"/>
          <c:showCatName val="0"/>
          <c:showSerName val="0"/>
          <c:showPercent val="0"/>
          <c:showBubbleSize val="0"/>
        </c:dLbls>
        <c:axId val="184268288"/>
        <c:axId val="184269824"/>
      </c:scatterChart>
      <c:valAx>
        <c:axId val="1842682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269824"/>
        <c:crosses val="autoZero"/>
        <c:crossBetween val="midCat"/>
      </c:valAx>
      <c:valAx>
        <c:axId val="184269824"/>
        <c:scaling>
          <c:orientation val="minMax"/>
          <c:min val="0.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26828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5.5109044874669444E-2"/>
                  <c:y val="4.6276719911431931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(Data!$C$2,Data!$D$2,Data!$E$2,Data!$F$2)</c:f>
              <c:numCache>
                <c:formatCode>General</c:formatCode>
                <c:ptCount val="4"/>
                <c:pt idx="0">
                  <c:v>2016</c:v>
                </c:pt>
                <c:pt idx="1">
                  <c:v>2020</c:v>
                </c:pt>
                <c:pt idx="2">
                  <c:v>2025</c:v>
                </c:pt>
                <c:pt idx="3">
                  <c:v>2030</c:v>
                </c:pt>
              </c:numCache>
            </c:numRef>
          </c:xVal>
          <c:yVal>
            <c:numRef>
              <c:f>(Data!$C$18,Data!$D$18,Data!$E$18,Data!$F$18)</c:f>
              <c:numCache>
                <c:formatCode>General</c:formatCode>
                <c:ptCount val="4"/>
                <c:pt idx="0">
                  <c:v>0.105</c:v>
                </c:pt>
                <c:pt idx="1">
                  <c:v>8.5199999999999998E-2</c:v>
                </c:pt>
                <c:pt idx="2">
                  <c:v>6.5600000000000006E-2</c:v>
                </c:pt>
                <c:pt idx="3">
                  <c:v>5.0599999999999999E-2</c:v>
                </c:pt>
              </c:numCache>
            </c:numRef>
          </c:yVal>
          <c:smooth val="1"/>
          <c:extLst>
            <c:ext xmlns:c16="http://schemas.microsoft.com/office/drawing/2014/chart" uri="{C3380CC4-5D6E-409C-BE32-E72D297353CC}">
              <c16:uniqueId val="{00000000-55A1-4CF2-8EE2-6E47419EA992}"/>
            </c:ext>
          </c:extLst>
        </c:ser>
        <c:dLbls>
          <c:showLegendKey val="0"/>
          <c:showVal val="0"/>
          <c:showCatName val="0"/>
          <c:showSerName val="0"/>
          <c:showPercent val="0"/>
          <c:showBubbleSize val="0"/>
        </c:dLbls>
        <c:axId val="184750848"/>
        <c:axId val="184752384"/>
      </c:scatterChart>
      <c:valAx>
        <c:axId val="1847508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752384"/>
        <c:crosses val="autoZero"/>
        <c:crossBetween val="midCat"/>
      </c:valAx>
      <c:valAx>
        <c:axId val="184752384"/>
        <c:scaling>
          <c:orientation val="minMax"/>
          <c:min val="4.0000000000000008E-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75084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12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21"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21"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121"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zoomScale="121"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121"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121"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zoomScale="12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0"/>
    <xdr:ext cx="9312459" cy="6077107"/>
    <xdr:graphicFrame macro="">
      <xdr:nvGraphicFramePr>
        <xdr:cNvPr id="2" name="Gráfico 1">
          <a:extLst>
            <a:ext uri="{FF2B5EF4-FFF2-40B4-BE49-F238E27FC236}">
              <a16:creationId xmlns:a16="http://schemas.microsoft.com/office/drawing/2014/main" id="{382DF23F-2C34-42AE-BBB9-6A5BDF3BCCD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12459" cy="6077107"/>
    <xdr:graphicFrame macro="">
      <xdr:nvGraphicFramePr>
        <xdr:cNvPr id="2" name="Gráfico 1">
          <a:extLst>
            <a:ext uri="{FF2B5EF4-FFF2-40B4-BE49-F238E27FC236}">
              <a16:creationId xmlns:a16="http://schemas.microsoft.com/office/drawing/2014/main" id="{72FAE736-5AB9-47DF-A533-6494DF237FF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12459" cy="6077107"/>
    <xdr:graphicFrame macro="">
      <xdr:nvGraphicFramePr>
        <xdr:cNvPr id="2" name="Gráfico 1">
          <a:extLst>
            <a:ext uri="{FF2B5EF4-FFF2-40B4-BE49-F238E27FC236}">
              <a16:creationId xmlns:a16="http://schemas.microsoft.com/office/drawing/2014/main" id="{FBD1DF56-FAB7-4EE0-B907-7290ACBF59F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12459" cy="6077107"/>
    <xdr:graphicFrame macro="">
      <xdr:nvGraphicFramePr>
        <xdr:cNvPr id="2" name="Gráfico 1">
          <a:extLst>
            <a:ext uri="{FF2B5EF4-FFF2-40B4-BE49-F238E27FC236}">
              <a16:creationId xmlns:a16="http://schemas.microsoft.com/office/drawing/2014/main" id="{C81FD886-DDE4-455D-A851-978874DF3B4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12459" cy="6077107"/>
    <xdr:graphicFrame macro="">
      <xdr:nvGraphicFramePr>
        <xdr:cNvPr id="2" name="Gráfico 1">
          <a:extLst>
            <a:ext uri="{FF2B5EF4-FFF2-40B4-BE49-F238E27FC236}">
              <a16:creationId xmlns:a16="http://schemas.microsoft.com/office/drawing/2014/main" id="{F112D6AB-2C31-41DB-9D29-0C72D4349F4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12459" cy="6077107"/>
    <xdr:graphicFrame macro="">
      <xdr:nvGraphicFramePr>
        <xdr:cNvPr id="2" name="Gráfico 1">
          <a:extLst>
            <a:ext uri="{FF2B5EF4-FFF2-40B4-BE49-F238E27FC236}">
              <a16:creationId xmlns:a16="http://schemas.microsoft.com/office/drawing/2014/main" id="{59DEF85B-092E-4C6E-BB9B-4B13D8EB8CE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B706E7F8-76A1-4490-9C7F-485A6A49DCE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2DDEB269-AB2F-408E-A407-810767EE11C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s.dk/0110_2014%20teknologikatalog%20opdat/Fase%203/PV%20HURTIG%20JAN2017/oktober%202017/Copy%20of%2020-23_electricity_generation_-_non-thermal_processes_solar%20PV%20_%20data%20sheet%20rin%2011ok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03-PROY%20ALM%20ENE\DS%20REF\MX%20TC%20Data%20Sheets%20Draft1_Ver_191127a%20SPI%20(Autoguard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C/Desktop/COOP%20DANESA/Catalogue/MX%20TC%20Data%20Sheets%20-%20final%20draft_revis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Photovoltaics  LARGE Old"/>
      <sheetName val="arbejds ark LARGE New"/>
      <sheetName val="22 Photovoltaics  SMALL old "/>
      <sheetName val="fra leverandører"/>
      <sheetName val="22 Photovoltaics  LARGE new"/>
    </sheetNames>
    <sheetDataSet>
      <sheetData sheetId="0">
        <row r="2">
          <cell r="N2">
            <v>0.98501248959200671</v>
          </cell>
        </row>
      </sheetData>
      <sheetData sheetId="1">
        <row r="33">
          <cell r="K33">
            <v>1.0720000000000001</v>
          </cell>
        </row>
        <row r="67">
          <cell r="S67">
            <v>0.97574759572313619</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S"/>
      <sheetName val="Li-Ion Battery"/>
      <sheetName val="Lead acid battery"/>
      <sheetName val="Na-S Battery"/>
      <sheetName val="VR Flow Battery"/>
      <sheetName val="CAES"/>
      <sheetName val="Molten Salt"/>
      <sheetName val="Supercapacitors"/>
      <sheetName val="Flywheels"/>
    </sheetNames>
    <sheetDataSet>
      <sheetData sheetId="0" refreshError="1"/>
      <sheetData sheetId="1"/>
      <sheetData sheetId="2"/>
      <sheetData sheetId="3"/>
      <sheetData sheetId="4" refreshError="1"/>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 Pump Hydro Storage"/>
      <sheetName val="PHS - Datos revisión"/>
      <sheetName val="03 Lithium Ion Battery"/>
      <sheetName val="04 Lead-Acid Battery"/>
      <sheetName val="Lead Acid - Datos revisión."/>
      <sheetName val="05 Na-S Battery"/>
      <sheetName val="Na-S - Datos revision"/>
      <sheetName val="06 Vanadium Redox Flow Battery"/>
      <sheetName val="07 Molten Salt Storage 2f"/>
      <sheetName val="Molten Salt -Datos revisión "/>
      <sheetName val="08 CAES"/>
      <sheetName val="09 Supercapacitors"/>
      <sheetName val="Supercapacit - Datos recientes"/>
      <sheetName val="10 Flywheels"/>
      <sheetName val="Flywheels - Datos recientes"/>
      <sheetName val="VR Flow - Datos revision"/>
      <sheetName val="CAES -Datos reci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B1:K54"/>
  <sheetViews>
    <sheetView tabSelected="1" zoomScale="80" zoomScaleNormal="80" workbookViewId="0">
      <selection activeCell="B2" sqref="B2:K34"/>
    </sheetView>
  </sheetViews>
  <sheetFormatPr baseColWidth="10" defaultColWidth="11.42578125" defaultRowHeight="15" x14ac:dyDescent="0.3"/>
  <cols>
    <col min="1" max="1" width="4.28515625" style="1" customWidth="1"/>
    <col min="2" max="2" width="60.85546875" style="1" customWidth="1"/>
    <col min="3" max="9" width="10.7109375" style="1" customWidth="1"/>
    <col min="10" max="10" width="9.28515625" style="1" customWidth="1"/>
    <col min="11" max="11" width="18" style="1" customWidth="1"/>
    <col min="12" max="16384" width="11.42578125" style="1"/>
  </cols>
  <sheetData>
    <row r="1" spans="2:11" ht="15.75" thickBot="1" x14ac:dyDescent="0.35"/>
    <row r="2" spans="2:11" ht="24" customHeight="1" x14ac:dyDescent="0.3">
      <c r="B2" s="91" t="s">
        <v>12</v>
      </c>
      <c r="C2" s="92" t="s">
        <v>13</v>
      </c>
      <c r="D2" s="92"/>
      <c r="E2" s="92"/>
      <c r="F2" s="92"/>
      <c r="G2" s="92"/>
      <c r="H2" s="92"/>
      <c r="I2" s="92"/>
      <c r="J2" s="92"/>
      <c r="K2" s="93"/>
    </row>
    <row r="3" spans="2:11" ht="27.75" customHeight="1" x14ac:dyDescent="0.3">
      <c r="B3" s="94"/>
      <c r="C3" s="49">
        <v>2020</v>
      </c>
      <c r="D3" s="49">
        <v>2030</v>
      </c>
      <c r="E3" s="49">
        <v>2050</v>
      </c>
      <c r="F3" s="64" t="s">
        <v>14</v>
      </c>
      <c r="G3" s="65"/>
      <c r="H3" s="66" t="s">
        <v>113</v>
      </c>
      <c r="I3" s="66"/>
      <c r="J3" s="49" t="s">
        <v>15</v>
      </c>
      <c r="K3" s="95" t="s">
        <v>16</v>
      </c>
    </row>
    <row r="4" spans="2:11" ht="18" customHeight="1" x14ac:dyDescent="0.3">
      <c r="B4" s="96" t="s">
        <v>17</v>
      </c>
      <c r="C4" s="48"/>
      <c r="D4" s="48"/>
      <c r="E4" s="48"/>
      <c r="F4" s="49" t="s">
        <v>9</v>
      </c>
      <c r="G4" s="49" t="s">
        <v>10</v>
      </c>
      <c r="H4" s="49" t="s">
        <v>9</v>
      </c>
      <c r="I4" s="49" t="s">
        <v>18</v>
      </c>
      <c r="J4" s="48"/>
      <c r="K4" s="97"/>
    </row>
    <row r="5" spans="2:11" ht="18" customHeight="1" x14ac:dyDescent="0.3">
      <c r="B5" s="94" t="s">
        <v>19</v>
      </c>
      <c r="C5" s="67"/>
      <c r="D5" s="67"/>
      <c r="E5" s="67"/>
      <c r="F5" s="50"/>
      <c r="G5" s="50"/>
      <c r="H5" s="50"/>
      <c r="I5" s="50"/>
      <c r="J5" s="50"/>
      <c r="K5" s="98"/>
    </row>
    <row r="6" spans="2:11" ht="18" customHeight="1" x14ac:dyDescent="0.3">
      <c r="B6" s="94" t="s">
        <v>20</v>
      </c>
      <c r="C6" s="67" t="s">
        <v>21</v>
      </c>
      <c r="D6" s="67"/>
      <c r="E6" s="67"/>
      <c r="F6" s="50"/>
      <c r="G6" s="50"/>
      <c r="H6" s="50"/>
      <c r="I6" s="50"/>
      <c r="J6" s="50"/>
      <c r="K6" s="98"/>
    </row>
    <row r="7" spans="2:11" ht="18" customHeight="1" x14ac:dyDescent="0.3">
      <c r="B7" s="99" t="s">
        <v>22</v>
      </c>
      <c r="C7" s="51">
        <v>6.65</v>
      </c>
      <c r="D7" s="51">
        <v>6.65</v>
      </c>
      <c r="E7" s="51">
        <v>6.65</v>
      </c>
      <c r="F7" s="51">
        <f>E7</f>
        <v>6.65</v>
      </c>
      <c r="G7" s="51">
        <f t="shared" ref="G7:I7" si="0">F7</f>
        <v>6.65</v>
      </c>
      <c r="H7" s="51">
        <f t="shared" si="0"/>
        <v>6.65</v>
      </c>
      <c r="I7" s="51">
        <f t="shared" si="0"/>
        <v>6.65</v>
      </c>
      <c r="J7" s="50"/>
      <c r="K7" s="98" t="s">
        <v>82</v>
      </c>
    </row>
    <row r="8" spans="2:11" ht="18" customHeight="1" x14ac:dyDescent="0.3">
      <c r="B8" s="99" t="s">
        <v>24</v>
      </c>
      <c r="C8" s="51">
        <f>C7/4</f>
        <v>1.6625000000000001</v>
      </c>
      <c r="D8" s="51">
        <f t="shared" ref="D8:E8" si="1">D7/4</f>
        <v>1.6625000000000001</v>
      </c>
      <c r="E8" s="51">
        <f t="shared" si="1"/>
        <v>1.6625000000000001</v>
      </c>
      <c r="F8" s="51">
        <f>F7/4</f>
        <v>1.6625000000000001</v>
      </c>
      <c r="G8" s="51">
        <f t="shared" ref="G8:I8" si="2">G7/4</f>
        <v>1.6625000000000001</v>
      </c>
      <c r="H8" s="51">
        <f t="shared" si="2"/>
        <v>1.6625000000000001</v>
      </c>
      <c r="I8" s="51">
        <f t="shared" si="2"/>
        <v>1.6625000000000001</v>
      </c>
      <c r="J8" s="50"/>
      <c r="K8" s="98" t="s">
        <v>23</v>
      </c>
    </row>
    <row r="9" spans="2:11" ht="18" customHeight="1" x14ac:dyDescent="0.3">
      <c r="B9" s="99" t="s">
        <v>25</v>
      </c>
      <c r="C9" s="51">
        <f>C8</f>
        <v>1.6625000000000001</v>
      </c>
      <c r="D9" s="51">
        <f>D8</f>
        <v>1.6625000000000001</v>
      </c>
      <c r="E9" s="51">
        <f>E8</f>
        <v>1.6625000000000001</v>
      </c>
      <c r="F9" s="51">
        <f>F8</f>
        <v>1.6625000000000001</v>
      </c>
      <c r="G9" s="51">
        <f t="shared" ref="G9:I9" si="3">G8</f>
        <v>1.6625000000000001</v>
      </c>
      <c r="H9" s="51">
        <f t="shared" si="3"/>
        <v>1.6625000000000001</v>
      </c>
      <c r="I9" s="51">
        <f t="shared" si="3"/>
        <v>1.6625000000000001</v>
      </c>
      <c r="J9" s="50"/>
      <c r="K9" s="98" t="s">
        <v>23</v>
      </c>
    </row>
    <row r="10" spans="2:11" ht="18" customHeight="1" x14ac:dyDescent="0.3">
      <c r="B10" s="99" t="s">
        <v>26</v>
      </c>
      <c r="C10" s="50">
        <v>73</v>
      </c>
      <c r="D10" s="50">
        <v>73</v>
      </c>
      <c r="E10" s="50">
        <v>73</v>
      </c>
      <c r="F10" s="52">
        <f>$C$10+($C$10*Uncertanties!J3)</f>
        <v>58.025641025641022</v>
      </c>
      <c r="G10" s="52">
        <f>$C$10+($C$10*Uncertanties!K3)</f>
        <v>82.358974358974365</v>
      </c>
      <c r="H10" s="52">
        <f>$D$10+($D$10*Uncertanties!L3)</f>
        <v>59.622166000000036</v>
      </c>
      <c r="I10" s="52">
        <f>$D$10+($D$10*Uncertanties!M3)</f>
        <v>84.475600000000028</v>
      </c>
      <c r="J10" s="50" t="s">
        <v>27</v>
      </c>
      <c r="K10" s="98" t="s">
        <v>28</v>
      </c>
    </row>
    <row r="11" spans="2:11" ht="18" customHeight="1" x14ac:dyDescent="0.3">
      <c r="B11" s="99" t="s">
        <v>190</v>
      </c>
      <c r="C11" s="52">
        <f>POWER(C10/100,0.5)*100</f>
        <v>85.440037453175307</v>
      </c>
      <c r="D11" s="52">
        <f t="shared" ref="D11:I11" si="4">POWER(D10/100,0.5)*100</f>
        <v>85.440037453175307</v>
      </c>
      <c r="E11" s="52">
        <f t="shared" si="4"/>
        <v>85.440037453175307</v>
      </c>
      <c r="F11" s="52">
        <f t="shared" si="4"/>
        <v>76.174563356570033</v>
      </c>
      <c r="G11" s="52">
        <f t="shared" si="4"/>
        <v>90.751845358083145</v>
      </c>
      <c r="H11" s="52">
        <f t="shared" si="4"/>
        <v>77.215390952840508</v>
      </c>
      <c r="I11" s="52">
        <f t="shared" si="4"/>
        <v>91.910608745672022</v>
      </c>
      <c r="J11" s="50"/>
      <c r="K11" s="98"/>
    </row>
    <row r="12" spans="2:11" ht="18" customHeight="1" x14ac:dyDescent="0.3">
      <c r="B12" s="99" t="s">
        <v>29</v>
      </c>
      <c r="C12" s="52">
        <f>C11</f>
        <v>85.440037453175307</v>
      </c>
      <c r="D12" s="52">
        <f t="shared" ref="D12:E12" si="5">D11</f>
        <v>85.440037453175307</v>
      </c>
      <c r="E12" s="52">
        <f t="shared" si="5"/>
        <v>85.440037453175307</v>
      </c>
      <c r="F12" s="52">
        <f>F11</f>
        <v>76.174563356570033</v>
      </c>
      <c r="G12" s="52">
        <f t="shared" ref="G12:I12" si="6">G11</f>
        <v>90.751845358083145</v>
      </c>
      <c r="H12" s="52">
        <f t="shared" si="6"/>
        <v>77.215390952840508</v>
      </c>
      <c r="I12" s="52">
        <f t="shared" si="6"/>
        <v>91.910608745672022</v>
      </c>
      <c r="J12" s="50"/>
      <c r="K12" s="98" t="s">
        <v>30</v>
      </c>
    </row>
    <row r="13" spans="2:11" ht="18" customHeight="1" x14ac:dyDescent="0.3">
      <c r="B13" s="99" t="s">
        <v>31</v>
      </c>
      <c r="C13" s="50">
        <v>0.2</v>
      </c>
      <c r="D13" s="50">
        <v>0.2</v>
      </c>
      <c r="E13" s="50">
        <v>0.2</v>
      </c>
      <c r="F13" s="50">
        <v>0</v>
      </c>
      <c r="G13" s="50">
        <v>1</v>
      </c>
      <c r="H13" s="50">
        <v>0</v>
      </c>
      <c r="I13" s="50">
        <v>1</v>
      </c>
      <c r="J13" s="50"/>
      <c r="K13" s="98" t="s">
        <v>23</v>
      </c>
    </row>
    <row r="14" spans="2:11" ht="18" customHeight="1" x14ac:dyDescent="0.3">
      <c r="B14" s="99" t="s">
        <v>32</v>
      </c>
      <c r="C14" s="50">
        <v>0.5</v>
      </c>
      <c r="D14" s="50">
        <v>0.5</v>
      </c>
      <c r="E14" s="50">
        <v>0.5</v>
      </c>
      <c r="F14" s="50">
        <v>0</v>
      </c>
      <c r="G14" s="50">
        <v>5</v>
      </c>
      <c r="H14" s="50">
        <v>0</v>
      </c>
      <c r="I14" s="50">
        <v>5</v>
      </c>
      <c r="J14" s="50" t="s">
        <v>33</v>
      </c>
      <c r="K14" s="98" t="s">
        <v>34</v>
      </c>
    </row>
    <row r="15" spans="2:11" ht="18" customHeight="1" x14ac:dyDescent="0.3">
      <c r="B15" s="99" t="s">
        <v>35</v>
      </c>
      <c r="C15" s="50">
        <v>0</v>
      </c>
      <c r="D15" s="50">
        <v>0</v>
      </c>
      <c r="E15" s="50">
        <v>0</v>
      </c>
      <c r="F15" s="50">
        <v>0</v>
      </c>
      <c r="G15" s="50">
        <v>0</v>
      </c>
      <c r="H15" s="50">
        <v>0</v>
      </c>
      <c r="I15" s="50">
        <v>0</v>
      </c>
      <c r="J15" s="50" t="s">
        <v>33</v>
      </c>
      <c r="K15" s="98" t="s">
        <v>36</v>
      </c>
    </row>
    <row r="16" spans="2:11" ht="18" customHeight="1" x14ac:dyDescent="0.3">
      <c r="B16" s="99" t="s">
        <v>37</v>
      </c>
      <c r="C16" s="50">
        <v>14</v>
      </c>
      <c r="D16" s="50">
        <v>14</v>
      </c>
      <c r="E16" s="53">
        <v>14</v>
      </c>
      <c r="F16" s="52">
        <f>$C$16+($C$16*Uncertanties!J4)</f>
        <v>4.2000000000000011</v>
      </c>
      <c r="G16" s="52">
        <f>$C$16+($C$16*Uncertanties!K4)</f>
        <v>16.100000000000001</v>
      </c>
      <c r="H16" s="52">
        <f>$D$16+($D$16*Uncertanties!L4)</f>
        <v>4.6571980000000028</v>
      </c>
      <c r="I16" s="52">
        <f>$D$16+($D$16*Uncertanties!M4)</f>
        <v>18.20000000000001</v>
      </c>
      <c r="J16" s="50" t="s">
        <v>27</v>
      </c>
      <c r="K16" s="98" t="s">
        <v>38</v>
      </c>
    </row>
    <row r="17" spans="2:11" ht="18" customHeight="1" x14ac:dyDescent="0.3">
      <c r="B17" s="99" t="s">
        <v>39</v>
      </c>
      <c r="C17" s="50">
        <v>1</v>
      </c>
      <c r="D17" s="50">
        <v>1</v>
      </c>
      <c r="E17" s="53">
        <v>1</v>
      </c>
      <c r="F17" s="50">
        <v>0.2</v>
      </c>
      <c r="G17" s="50">
        <v>2</v>
      </c>
      <c r="H17" s="50">
        <f>F17</f>
        <v>0.2</v>
      </c>
      <c r="I17" s="50">
        <f>G17</f>
        <v>2</v>
      </c>
      <c r="J17" s="50" t="s">
        <v>40</v>
      </c>
      <c r="K17" s="98" t="s">
        <v>34</v>
      </c>
    </row>
    <row r="18" spans="2:11" ht="18" customHeight="1" x14ac:dyDescent="0.3">
      <c r="B18" s="100" t="s">
        <v>56</v>
      </c>
      <c r="C18" s="53">
        <v>13000</v>
      </c>
      <c r="D18" s="53">
        <v>13000</v>
      </c>
      <c r="E18" s="53">
        <v>13000</v>
      </c>
      <c r="F18" s="53">
        <v>12000</v>
      </c>
      <c r="G18" s="53">
        <v>14000</v>
      </c>
      <c r="H18" s="53">
        <v>12000</v>
      </c>
      <c r="I18" s="53">
        <v>14000</v>
      </c>
      <c r="J18" s="53"/>
      <c r="K18" s="101" t="s">
        <v>23</v>
      </c>
    </row>
    <row r="19" spans="2:11" ht="18" customHeight="1" x14ac:dyDescent="0.3">
      <c r="B19" s="102" t="s">
        <v>41</v>
      </c>
      <c r="C19" s="63"/>
      <c r="D19" s="63"/>
      <c r="E19" s="63"/>
      <c r="F19" s="63"/>
      <c r="G19" s="63"/>
      <c r="H19" s="63"/>
      <c r="I19" s="63"/>
      <c r="J19" s="63"/>
      <c r="K19" s="103"/>
    </row>
    <row r="20" spans="2:11" ht="18" customHeight="1" x14ac:dyDescent="0.3">
      <c r="B20" s="99" t="s">
        <v>42</v>
      </c>
      <c r="C20" s="50">
        <v>0.1</v>
      </c>
      <c r="D20" s="54">
        <v>0.1</v>
      </c>
      <c r="E20" s="50">
        <v>0.1</v>
      </c>
      <c r="F20" s="50">
        <v>5.0000000000000001E-3</v>
      </c>
      <c r="G20" s="50">
        <v>2</v>
      </c>
      <c r="H20" s="50">
        <f t="shared" ref="H20:I21" si="7">F20</f>
        <v>5.0000000000000001E-3</v>
      </c>
      <c r="I20" s="50">
        <f t="shared" si="7"/>
        <v>2</v>
      </c>
      <c r="J20" s="50" t="s">
        <v>43</v>
      </c>
      <c r="K20" s="98" t="s">
        <v>34</v>
      </c>
    </row>
    <row r="21" spans="2:11" ht="18" customHeight="1" x14ac:dyDescent="0.3">
      <c r="B21" s="99" t="s">
        <v>44</v>
      </c>
      <c r="C21" s="55">
        <v>7.0000000000000007E-2</v>
      </c>
      <c r="D21" s="50">
        <v>7.0000000000000007E-2</v>
      </c>
      <c r="E21" s="50">
        <v>7.0000000000000007E-2</v>
      </c>
      <c r="F21" s="50">
        <v>4.0000000000000001E-3</v>
      </c>
      <c r="G21" s="50">
        <v>1.4</v>
      </c>
      <c r="H21" s="50">
        <f t="shared" si="7"/>
        <v>4.0000000000000001E-3</v>
      </c>
      <c r="I21" s="50">
        <f t="shared" si="7"/>
        <v>1.4</v>
      </c>
      <c r="J21" s="50" t="s">
        <v>43</v>
      </c>
      <c r="K21" s="98" t="s">
        <v>34</v>
      </c>
    </row>
    <row r="22" spans="2:11" ht="18" customHeight="1" x14ac:dyDescent="0.3">
      <c r="B22" s="102" t="s">
        <v>45</v>
      </c>
      <c r="C22" s="63"/>
      <c r="D22" s="63"/>
      <c r="E22" s="63"/>
      <c r="F22" s="63"/>
      <c r="G22" s="63"/>
      <c r="H22" s="63"/>
      <c r="I22" s="63"/>
      <c r="J22" s="63"/>
      <c r="K22" s="103"/>
    </row>
    <row r="23" spans="2:11" ht="18" customHeight="1" x14ac:dyDescent="0.3">
      <c r="B23" s="104" t="s">
        <v>46</v>
      </c>
      <c r="C23" s="57">
        <f>((C24+C26)*C7+C25*C8)/C7</f>
        <v>0.60245000000000004</v>
      </c>
      <c r="D23" s="57">
        <f t="shared" ref="D23:H23" si="8">((D24+D26)*D7+D25*D8)/D7</f>
        <v>0.31875000000000003</v>
      </c>
      <c r="E23" s="57">
        <f t="shared" si="8"/>
        <v>0.11138756873507023</v>
      </c>
      <c r="F23" s="57">
        <f t="shared" si="8"/>
        <v>0.50790000000000002</v>
      </c>
      <c r="G23" s="57">
        <f t="shared" si="8"/>
        <v>1.2383500000000001</v>
      </c>
      <c r="H23" s="57">
        <f t="shared" si="8"/>
        <v>0.26554374000000003</v>
      </c>
      <c r="I23" s="57">
        <f>((I24+I26)*I7+I25*I8)/I7</f>
        <v>0.62444374000000002</v>
      </c>
      <c r="J23" s="53"/>
      <c r="K23" s="98"/>
    </row>
    <row r="24" spans="2:11" ht="18" customHeight="1" x14ac:dyDescent="0.3">
      <c r="B24" s="105" t="s">
        <v>191</v>
      </c>
      <c r="C24" s="57">
        <f>0.2552+(1.0638/4)</f>
        <v>0.52115</v>
      </c>
      <c r="D24" s="57">
        <f>0.1188+(0.6292/4)</f>
        <v>0.27610000000000001</v>
      </c>
      <c r="E24" s="58">
        <f>Data!H17</f>
        <v>7.6931120861241514E-2</v>
      </c>
      <c r="F24" s="50">
        <v>0.44500000000000001</v>
      </c>
      <c r="G24" s="50">
        <v>1.0920000000000001</v>
      </c>
      <c r="H24" s="50">
        <v>0.23400000000000001</v>
      </c>
      <c r="I24" s="50">
        <v>0.54900000000000004</v>
      </c>
      <c r="J24" s="53" t="s">
        <v>47</v>
      </c>
      <c r="K24" s="98" t="s">
        <v>23</v>
      </c>
    </row>
    <row r="25" spans="2:11" ht="18" customHeight="1" x14ac:dyDescent="0.3">
      <c r="B25" s="99" t="s">
        <v>49</v>
      </c>
      <c r="C25" s="57">
        <v>8.5199999999999998E-2</v>
      </c>
      <c r="D25" s="58">
        <v>5.0599999999999999E-2</v>
      </c>
      <c r="E25" s="58">
        <f>Data!H18</f>
        <v>1.7825791495314873E-2</v>
      </c>
      <c r="F25" s="57">
        <v>5.96E-2</v>
      </c>
      <c r="G25" s="57">
        <v>0.15340000000000001</v>
      </c>
      <c r="H25" s="57">
        <v>3.5400000000000001E-2</v>
      </c>
      <c r="I25" s="50">
        <v>9.0999999999999998E-2</v>
      </c>
      <c r="J25" s="53" t="s">
        <v>48</v>
      </c>
      <c r="K25" s="98" t="s">
        <v>23</v>
      </c>
    </row>
    <row r="26" spans="2:11" ht="18" customHeight="1" x14ac:dyDescent="0.3">
      <c r="B26" s="99" t="s">
        <v>51</v>
      </c>
      <c r="C26" s="53">
        <v>0.06</v>
      </c>
      <c r="D26" s="58">
        <f>Data!F19</f>
        <v>0.03</v>
      </c>
      <c r="E26" s="58">
        <f>Data!H19</f>
        <v>0.03</v>
      </c>
      <c r="F26" s="51">
        <f>$C$26+($C$26*Uncertanties!J5)</f>
        <v>4.7999999999999994E-2</v>
      </c>
      <c r="G26" s="51">
        <f>$C$26+($C$26*Uncertanties!K5)</f>
        <v>0.10799999999999998</v>
      </c>
      <c r="H26" s="51">
        <f>$D$26+($D$26*Uncertanties!L5)</f>
        <v>2.2693740000000007E-2</v>
      </c>
      <c r="I26" s="51">
        <f>$D$26+($D$26*Uncertanties!M5)</f>
        <v>5.2693740000000003E-2</v>
      </c>
      <c r="J26" s="53" t="s">
        <v>50</v>
      </c>
      <c r="K26" s="98" t="s">
        <v>34</v>
      </c>
    </row>
    <row r="27" spans="2:11" ht="18" customHeight="1" x14ac:dyDescent="0.3">
      <c r="B27" s="99" t="s">
        <v>83</v>
      </c>
      <c r="C27" s="59">
        <f>8.5*1.11</f>
        <v>9.4350000000000005</v>
      </c>
      <c r="D27" s="59">
        <f>Data!M20</f>
        <v>4.1278125000000001</v>
      </c>
      <c r="E27" s="59">
        <f>Data!N20</f>
        <v>3.8919375000000005</v>
      </c>
      <c r="F27" s="51">
        <f>3.4*1.11</f>
        <v>3.774</v>
      </c>
      <c r="G27" s="51">
        <f>17.3*1.11</f>
        <v>19.203000000000003</v>
      </c>
      <c r="H27" s="51">
        <f>$D$27+($D$27*Uncertanties!L6)</f>
        <v>1.651125</v>
      </c>
      <c r="I27" s="51">
        <f>$D$27+($D$27*Uncertanties!M6)</f>
        <v>8.4013124999999995</v>
      </c>
      <c r="J27" s="53" t="s">
        <v>52</v>
      </c>
      <c r="K27" s="98" t="s">
        <v>84</v>
      </c>
    </row>
    <row r="28" spans="2:11" ht="18" customHeight="1" x14ac:dyDescent="0.3">
      <c r="B28" s="104" t="s">
        <v>54</v>
      </c>
      <c r="C28" s="60">
        <f>0.9*1.11</f>
        <v>0.99900000000000011</v>
      </c>
      <c r="D28" s="59">
        <f>Data!M21</f>
        <v>0.99900000000000011</v>
      </c>
      <c r="E28" s="59">
        <f>Data!N21</f>
        <v>0.99900000000000011</v>
      </c>
      <c r="F28" s="59">
        <f>0.2*1.11</f>
        <v>0.22200000000000003</v>
      </c>
      <c r="G28" s="59">
        <f>2.08*1.11</f>
        <v>2.3088000000000002</v>
      </c>
      <c r="H28" s="59">
        <f>0.2*1.11</f>
        <v>0.22200000000000003</v>
      </c>
      <c r="I28" s="59">
        <f>2.08*1.11</f>
        <v>2.3088000000000002</v>
      </c>
      <c r="J28" s="53"/>
      <c r="K28" s="98" t="s">
        <v>84</v>
      </c>
    </row>
    <row r="29" spans="2:11" ht="18" customHeight="1" x14ac:dyDescent="0.3">
      <c r="B29" s="106" t="s">
        <v>55</v>
      </c>
      <c r="C29" s="61"/>
      <c r="D29" s="61"/>
      <c r="E29" s="61"/>
      <c r="F29" s="61"/>
      <c r="G29" s="61"/>
      <c r="H29" s="61"/>
      <c r="I29" s="61"/>
      <c r="J29" s="61"/>
      <c r="K29" s="107"/>
    </row>
    <row r="30" spans="2:11" ht="18" customHeight="1" x14ac:dyDescent="0.3">
      <c r="B30" s="99" t="s">
        <v>189</v>
      </c>
      <c r="C30" s="58">
        <f t="shared" ref="C30:I30" si="9">((C24+C26)*C7+C25*C8)/C8</f>
        <v>2.4098000000000002</v>
      </c>
      <c r="D30" s="58">
        <f t="shared" si="9"/>
        <v>1.2750000000000001</v>
      </c>
      <c r="E30" s="58">
        <f t="shared" si="9"/>
        <v>0.44555027494028093</v>
      </c>
      <c r="F30" s="58">
        <f t="shared" si="9"/>
        <v>2.0316000000000001</v>
      </c>
      <c r="G30" s="58">
        <f t="shared" si="9"/>
        <v>4.9534000000000002</v>
      </c>
      <c r="H30" s="58">
        <f t="shared" si="9"/>
        <v>1.0621749600000001</v>
      </c>
      <c r="I30" s="58">
        <f t="shared" si="9"/>
        <v>2.4977749600000001</v>
      </c>
      <c r="J30" s="53"/>
      <c r="K30" s="98"/>
    </row>
    <row r="31" spans="2:11" ht="18" customHeight="1" x14ac:dyDescent="0.3">
      <c r="B31" s="99" t="s">
        <v>57</v>
      </c>
      <c r="C31" s="60">
        <f>C33/(C7/C8)</f>
        <v>2.95</v>
      </c>
      <c r="D31" s="60">
        <f t="shared" ref="D31:I31" si="10">D33/(D7/D8)</f>
        <v>2.95</v>
      </c>
      <c r="E31" s="60">
        <f t="shared" si="10"/>
        <v>2.95</v>
      </c>
      <c r="F31" s="60">
        <f t="shared" si="10"/>
        <v>1.4750000000000001</v>
      </c>
      <c r="G31" s="60">
        <f t="shared" si="10"/>
        <v>3.6875</v>
      </c>
      <c r="H31" s="60">
        <f t="shared" si="10"/>
        <v>1.4750000000000001</v>
      </c>
      <c r="I31" s="60">
        <f t="shared" si="10"/>
        <v>3.6875</v>
      </c>
      <c r="J31" s="53"/>
      <c r="K31" s="101"/>
    </row>
    <row r="32" spans="2:11" ht="18" customHeight="1" x14ac:dyDescent="0.3">
      <c r="B32" s="99" t="s">
        <v>58</v>
      </c>
      <c r="C32" s="62">
        <f>C34/(C7/C8)</f>
        <v>2260</v>
      </c>
      <c r="D32" s="62">
        <f t="shared" ref="D32:I32" si="11">D34/(D7/D8)</f>
        <v>2260</v>
      </c>
      <c r="E32" s="62">
        <f t="shared" si="11"/>
        <v>2260</v>
      </c>
      <c r="F32" s="62">
        <f t="shared" si="11"/>
        <v>1130</v>
      </c>
      <c r="G32" s="62">
        <f t="shared" si="11"/>
        <v>2825</v>
      </c>
      <c r="H32" s="62">
        <f t="shared" si="11"/>
        <v>1130</v>
      </c>
      <c r="I32" s="62">
        <f t="shared" si="11"/>
        <v>2825</v>
      </c>
      <c r="J32" s="50" t="s">
        <v>27</v>
      </c>
      <c r="K32" s="98"/>
    </row>
    <row r="33" spans="2:11" ht="18" customHeight="1" x14ac:dyDescent="0.3">
      <c r="B33" s="99" t="s">
        <v>59</v>
      </c>
      <c r="C33" s="53">
        <v>11.8</v>
      </c>
      <c r="D33" s="50">
        <f t="shared" ref="D33:E34" si="12">C33</f>
        <v>11.8</v>
      </c>
      <c r="E33" s="50">
        <f t="shared" si="12"/>
        <v>11.8</v>
      </c>
      <c r="F33" s="53">
        <v>5.9</v>
      </c>
      <c r="G33" s="53">
        <v>14.75</v>
      </c>
      <c r="H33" s="53">
        <f t="shared" ref="H33:H34" si="13">F33</f>
        <v>5.9</v>
      </c>
      <c r="I33" s="53">
        <f t="shared" ref="I33:I34" si="14">G33</f>
        <v>14.75</v>
      </c>
      <c r="J33" s="56"/>
      <c r="K33" s="98" t="s">
        <v>34</v>
      </c>
    </row>
    <row r="34" spans="2:11" ht="18" customHeight="1" thickBot="1" x14ac:dyDescent="0.35">
      <c r="B34" s="108" t="s">
        <v>60</v>
      </c>
      <c r="C34" s="109">
        <v>9040</v>
      </c>
      <c r="D34" s="110">
        <f t="shared" si="12"/>
        <v>9040</v>
      </c>
      <c r="E34" s="110">
        <f t="shared" si="12"/>
        <v>9040</v>
      </c>
      <c r="F34" s="109">
        <v>4520</v>
      </c>
      <c r="G34" s="109">
        <v>11300</v>
      </c>
      <c r="H34" s="109">
        <f t="shared" si="13"/>
        <v>4520</v>
      </c>
      <c r="I34" s="109">
        <f t="shared" si="14"/>
        <v>11300</v>
      </c>
      <c r="J34" s="111"/>
      <c r="K34" s="112" t="s">
        <v>34</v>
      </c>
    </row>
    <row r="37" spans="2:11" x14ac:dyDescent="0.3">
      <c r="B37" s="18" t="s">
        <v>61</v>
      </c>
    </row>
    <row r="38" spans="2:11" x14ac:dyDescent="0.3">
      <c r="B38" s="2" t="s">
        <v>33</v>
      </c>
      <c r="C38" s="1" t="s">
        <v>62</v>
      </c>
    </row>
    <row r="39" spans="2:11" x14ac:dyDescent="0.3">
      <c r="B39" s="3" t="s">
        <v>40</v>
      </c>
      <c r="C39" s="1" t="s">
        <v>63</v>
      </c>
    </row>
    <row r="40" spans="2:11" x14ac:dyDescent="0.3">
      <c r="B40" s="3" t="s">
        <v>43</v>
      </c>
      <c r="C40" s="1" t="s">
        <v>64</v>
      </c>
    </row>
    <row r="41" spans="2:11" x14ac:dyDescent="0.3">
      <c r="B41" s="3" t="s">
        <v>47</v>
      </c>
      <c r="C41" s="4" t="s">
        <v>65</v>
      </c>
    </row>
    <row r="42" spans="2:11" x14ac:dyDescent="0.3">
      <c r="B42" s="3" t="s">
        <v>48</v>
      </c>
      <c r="C42" s="4" t="s">
        <v>66</v>
      </c>
    </row>
    <row r="43" spans="2:11" x14ac:dyDescent="0.3">
      <c r="B43" s="3" t="s">
        <v>50</v>
      </c>
      <c r="C43" s="1" t="s">
        <v>67</v>
      </c>
    </row>
    <row r="44" spans="2:11" x14ac:dyDescent="0.3">
      <c r="B44" s="3" t="s">
        <v>52</v>
      </c>
      <c r="C44" s="1" t="s">
        <v>85</v>
      </c>
    </row>
    <row r="45" spans="2:11" x14ac:dyDescent="0.3">
      <c r="B45" s="3"/>
      <c r="C45" s="4"/>
    </row>
    <row r="46" spans="2:11" x14ac:dyDescent="0.3">
      <c r="B46" s="18" t="s">
        <v>68</v>
      </c>
    </row>
    <row r="47" spans="2:11" x14ac:dyDescent="0.3">
      <c r="B47" s="6" t="s">
        <v>23</v>
      </c>
      <c r="C47" s="4" t="s">
        <v>69</v>
      </c>
    </row>
    <row r="48" spans="2:11" x14ac:dyDescent="0.3">
      <c r="B48" s="6" t="s">
        <v>34</v>
      </c>
      <c r="C48" s="1" t="s">
        <v>117</v>
      </c>
    </row>
    <row r="49" spans="2:3" x14ac:dyDescent="0.3">
      <c r="B49" s="6" t="s">
        <v>30</v>
      </c>
      <c r="C49" s="5" t="s">
        <v>70</v>
      </c>
    </row>
    <row r="50" spans="2:3" x14ac:dyDescent="0.3">
      <c r="B50" s="6" t="s">
        <v>71</v>
      </c>
      <c r="C50" s="1" t="s">
        <v>72</v>
      </c>
    </row>
    <row r="51" spans="2:3" x14ac:dyDescent="0.3">
      <c r="B51" s="6" t="s">
        <v>73</v>
      </c>
      <c r="C51" s="1" t="s">
        <v>118</v>
      </c>
    </row>
    <row r="52" spans="2:3" x14ac:dyDescent="0.3">
      <c r="B52" s="6" t="s">
        <v>74</v>
      </c>
      <c r="C52" s="1" t="s">
        <v>75</v>
      </c>
    </row>
    <row r="53" spans="2:3" x14ac:dyDescent="0.3">
      <c r="B53" s="6" t="s">
        <v>76</v>
      </c>
      <c r="C53" s="1" t="s">
        <v>119</v>
      </c>
    </row>
    <row r="54" spans="2:3" x14ac:dyDescent="0.3">
      <c r="B54" s="6" t="s">
        <v>53</v>
      </c>
      <c r="C54" s="19" t="s">
        <v>120</v>
      </c>
    </row>
  </sheetData>
  <mergeCells count="7">
    <mergeCell ref="B22:K22"/>
    <mergeCell ref="F3:G3"/>
    <mergeCell ref="C2:K2"/>
    <mergeCell ref="H3:I3"/>
    <mergeCell ref="C5:E5"/>
    <mergeCell ref="C6:E6"/>
    <mergeCell ref="B19:K19"/>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7"/>
  <sheetViews>
    <sheetView zoomScaleNormal="100" workbookViewId="0">
      <pane xSplit="1" ySplit="2" topLeftCell="B3" activePane="bottomRight" state="frozen"/>
      <selection pane="topRight" activeCell="B1" sqref="B1"/>
      <selection pane="bottomLeft" activeCell="A3" sqref="A3"/>
      <selection pane="bottomRight" sqref="A1:XFD1048576"/>
    </sheetView>
  </sheetViews>
  <sheetFormatPr baseColWidth="10" defaultColWidth="11.42578125" defaultRowHeight="18" x14ac:dyDescent="0.25"/>
  <cols>
    <col min="1" max="1" width="31.85546875" style="20" customWidth="1"/>
    <col min="2" max="2" width="9.85546875" style="36" customWidth="1"/>
    <col min="3" max="6" width="9.85546875" style="15" customWidth="1"/>
    <col min="7" max="7" width="14" style="15" customWidth="1"/>
    <col min="8" max="8" width="9.85546875" style="15" customWidth="1"/>
    <col min="9" max="9" width="14" style="15" customWidth="1"/>
    <col min="10" max="10" width="12.85546875" style="15" customWidth="1"/>
    <col min="11" max="11" width="48.42578125" style="15" customWidth="1"/>
    <col min="12" max="14" width="9.85546875" style="15" customWidth="1"/>
    <col min="15" max="15" width="23" style="15" customWidth="1"/>
    <col min="16" max="16384" width="11.42578125" style="15"/>
  </cols>
  <sheetData>
    <row r="1" spans="1:15" ht="75" x14ac:dyDescent="0.25">
      <c r="B1" s="21"/>
      <c r="C1" s="22"/>
      <c r="D1" s="22"/>
      <c r="E1" s="22"/>
      <c r="F1" s="22"/>
      <c r="G1" s="22" t="s">
        <v>77</v>
      </c>
      <c r="H1" s="22"/>
      <c r="I1" s="22" t="s">
        <v>78</v>
      </c>
      <c r="J1" s="22"/>
      <c r="K1" s="68" t="s">
        <v>114</v>
      </c>
      <c r="L1" s="70" t="s">
        <v>141</v>
      </c>
      <c r="M1" s="70"/>
      <c r="N1" s="70"/>
      <c r="O1" s="68" t="s">
        <v>115</v>
      </c>
    </row>
    <row r="2" spans="1:15" x14ac:dyDescent="0.3">
      <c r="A2" s="20" t="s">
        <v>8</v>
      </c>
      <c r="B2" s="21" t="s">
        <v>86</v>
      </c>
      <c r="C2" s="21">
        <v>2016</v>
      </c>
      <c r="D2" s="21">
        <v>2020</v>
      </c>
      <c r="E2" s="21">
        <v>2025</v>
      </c>
      <c r="F2" s="21">
        <v>2030</v>
      </c>
      <c r="G2" s="21" t="s">
        <v>79</v>
      </c>
      <c r="H2" s="21">
        <v>2050</v>
      </c>
      <c r="I2" s="21"/>
      <c r="J2" s="21" t="s">
        <v>11</v>
      </c>
      <c r="K2" s="68"/>
      <c r="L2" s="21">
        <v>2020</v>
      </c>
      <c r="M2" s="21">
        <v>2030</v>
      </c>
      <c r="N2" s="23">
        <v>2050</v>
      </c>
      <c r="O2" s="68"/>
    </row>
    <row r="3" spans="1:15" ht="18.399999999999999" customHeight="1" x14ac:dyDescent="0.25">
      <c r="A3" s="20" t="s">
        <v>122</v>
      </c>
      <c r="B3" s="24" t="s">
        <v>87</v>
      </c>
      <c r="C3" s="15">
        <v>6.65</v>
      </c>
      <c r="D3" s="15">
        <f>C3</f>
        <v>6.65</v>
      </c>
      <c r="E3" s="15">
        <f t="shared" ref="E3:F3" si="0">D3</f>
        <v>6.65</v>
      </c>
      <c r="F3" s="15">
        <f t="shared" si="0"/>
        <v>6.65</v>
      </c>
      <c r="H3" s="15">
        <f>F3</f>
        <v>6.65</v>
      </c>
      <c r="J3" s="69" t="s">
        <v>23</v>
      </c>
      <c r="K3" s="70" t="s">
        <v>165</v>
      </c>
    </row>
    <row r="4" spans="1:15" ht="18.399999999999999" customHeight="1" x14ac:dyDescent="0.25">
      <c r="A4" s="20" t="s">
        <v>123</v>
      </c>
      <c r="B4" s="24" t="s">
        <v>88</v>
      </c>
      <c r="C4" s="15">
        <v>1.66</v>
      </c>
      <c r="D4" s="15">
        <f t="shared" ref="D4:F5" si="1">C4</f>
        <v>1.66</v>
      </c>
      <c r="E4" s="15">
        <f t="shared" si="1"/>
        <v>1.66</v>
      </c>
      <c r="F4" s="15">
        <f t="shared" si="1"/>
        <v>1.66</v>
      </c>
      <c r="H4" s="15">
        <f t="shared" ref="H4:H5" si="2">F4</f>
        <v>1.66</v>
      </c>
      <c r="J4" s="69"/>
      <c r="K4" s="70"/>
    </row>
    <row r="5" spans="1:15" ht="18.399999999999999" customHeight="1" x14ac:dyDescent="0.25">
      <c r="A5" s="20" t="s">
        <v>124</v>
      </c>
      <c r="B5" s="24" t="s">
        <v>89</v>
      </c>
      <c r="C5" s="15">
        <v>1.66</v>
      </c>
      <c r="D5" s="15">
        <f t="shared" si="1"/>
        <v>1.66</v>
      </c>
      <c r="E5" s="15">
        <f t="shared" si="1"/>
        <v>1.66</v>
      </c>
      <c r="F5" s="15">
        <f t="shared" si="1"/>
        <v>1.66</v>
      </c>
      <c r="H5" s="15">
        <f t="shared" si="2"/>
        <v>1.66</v>
      </c>
      <c r="J5" s="69"/>
      <c r="K5" s="70"/>
    </row>
    <row r="6" spans="1:15" ht="60" x14ac:dyDescent="0.25">
      <c r="A6" s="20" t="s">
        <v>125</v>
      </c>
      <c r="B6" s="24" t="s">
        <v>90</v>
      </c>
      <c r="D6" s="15">
        <v>73</v>
      </c>
      <c r="F6" s="15">
        <v>73</v>
      </c>
      <c r="G6" s="25"/>
      <c r="H6" s="26">
        <v>73</v>
      </c>
      <c r="I6" s="25"/>
      <c r="J6" s="27" t="s">
        <v>166</v>
      </c>
      <c r="K6" s="22" t="s">
        <v>167</v>
      </c>
      <c r="M6" s="28"/>
      <c r="N6" s="28"/>
    </row>
    <row r="7" spans="1:15" ht="18.399999999999999" customHeight="1" x14ac:dyDescent="0.25">
      <c r="A7" s="20" t="s">
        <v>126</v>
      </c>
      <c r="B7" s="24" t="s">
        <v>91</v>
      </c>
      <c r="D7" s="29">
        <f>POWER(D6/100,0.5)*100</f>
        <v>85.440037453175307</v>
      </c>
      <c r="F7" s="29">
        <f>POWER(F6/100,0.5)*100</f>
        <v>85.440037453175307</v>
      </c>
      <c r="H7" s="29">
        <f>POWER(H6/100,0.5)*100</f>
        <v>85.440037453175307</v>
      </c>
      <c r="J7" s="71"/>
      <c r="K7" s="70" t="s">
        <v>174</v>
      </c>
      <c r="L7" s="30"/>
      <c r="M7" s="30"/>
      <c r="N7" s="30"/>
    </row>
    <row r="8" spans="1:15" ht="18.399999999999999" customHeight="1" x14ac:dyDescent="0.25">
      <c r="A8" s="20" t="s">
        <v>127</v>
      </c>
      <c r="B8" s="24" t="s">
        <v>92</v>
      </c>
      <c r="D8" s="29">
        <f>POWER(D6/100,0.5)*100</f>
        <v>85.440037453175307</v>
      </c>
      <c r="F8" s="29">
        <f>POWER(F6/100,0.5)*100</f>
        <v>85.440037453175307</v>
      </c>
      <c r="H8" s="29">
        <f>POWER(H6/100,0.5)*100</f>
        <v>85.440037453175307</v>
      </c>
      <c r="I8" s="26"/>
      <c r="J8" s="71"/>
      <c r="K8" s="70"/>
      <c r="L8" s="30"/>
      <c r="M8" s="30"/>
      <c r="N8" s="30"/>
    </row>
    <row r="9" spans="1:15" ht="90" x14ac:dyDescent="0.25">
      <c r="A9" s="20" t="s">
        <v>128</v>
      </c>
      <c r="B9" s="24" t="s">
        <v>93</v>
      </c>
      <c r="D9" s="15">
        <v>0.2</v>
      </c>
      <c r="F9" s="15">
        <v>0.2</v>
      </c>
      <c r="H9" s="29">
        <v>0.2</v>
      </c>
      <c r="I9" s="26"/>
      <c r="J9" s="27" t="s">
        <v>23</v>
      </c>
      <c r="K9" s="22" t="s">
        <v>168</v>
      </c>
    </row>
    <row r="10" spans="1:15" ht="75" x14ac:dyDescent="0.25">
      <c r="A10" s="20" t="s">
        <v>129</v>
      </c>
      <c r="B10" s="24" t="s">
        <v>94</v>
      </c>
      <c r="D10" s="15">
        <v>0.5</v>
      </c>
      <c r="F10" s="15">
        <v>0.5</v>
      </c>
      <c r="H10" s="31">
        <v>0.5</v>
      </c>
      <c r="I10" s="31"/>
      <c r="J10" s="27" t="s">
        <v>34</v>
      </c>
      <c r="K10" s="22" t="s">
        <v>169</v>
      </c>
    </row>
    <row r="11" spans="1:15" ht="60" x14ac:dyDescent="0.25">
      <c r="A11" s="20" t="s">
        <v>130</v>
      </c>
      <c r="B11" s="24" t="s">
        <v>95</v>
      </c>
      <c r="D11" s="15">
        <v>0</v>
      </c>
      <c r="F11" s="15">
        <v>0</v>
      </c>
      <c r="H11" s="26">
        <v>0</v>
      </c>
      <c r="I11" s="31"/>
      <c r="J11" s="27" t="s">
        <v>170</v>
      </c>
      <c r="K11" s="22" t="s">
        <v>171</v>
      </c>
    </row>
    <row r="12" spans="1:15" ht="60" x14ac:dyDescent="0.25">
      <c r="A12" s="20" t="s">
        <v>131</v>
      </c>
      <c r="B12" s="24" t="s">
        <v>96</v>
      </c>
      <c r="D12" s="15">
        <v>14</v>
      </c>
      <c r="F12" s="15">
        <f>D12</f>
        <v>14</v>
      </c>
      <c r="H12" s="15">
        <f>F12</f>
        <v>14</v>
      </c>
      <c r="I12" s="29"/>
      <c r="J12" s="9" t="s">
        <v>38</v>
      </c>
      <c r="K12" s="22" t="s">
        <v>172</v>
      </c>
    </row>
    <row r="13" spans="1:15" ht="27" customHeight="1" x14ac:dyDescent="0.25">
      <c r="A13" s="20" t="s">
        <v>132</v>
      </c>
      <c r="B13" s="24" t="s">
        <v>97</v>
      </c>
      <c r="D13" s="15">
        <v>1</v>
      </c>
      <c r="F13" s="15">
        <v>1</v>
      </c>
      <c r="H13" s="31">
        <v>1</v>
      </c>
      <c r="I13" s="31"/>
      <c r="J13" s="69" t="s">
        <v>34</v>
      </c>
      <c r="K13" s="70" t="s">
        <v>173</v>
      </c>
    </row>
    <row r="14" spans="1:15" ht="45" x14ac:dyDescent="0.25">
      <c r="A14" s="20" t="s">
        <v>133</v>
      </c>
      <c r="B14" s="24" t="s">
        <v>98</v>
      </c>
      <c r="D14" s="15">
        <v>0.1</v>
      </c>
      <c r="F14" s="15">
        <v>0.1</v>
      </c>
      <c r="H14" s="31">
        <v>0.1</v>
      </c>
      <c r="I14" s="31"/>
      <c r="J14" s="69"/>
      <c r="K14" s="70"/>
    </row>
    <row r="15" spans="1:15" ht="45" x14ac:dyDescent="0.25">
      <c r="A15" s="20" t="s">
        <v>134</v>
      </c>
      <c r="B15" s="24" t="s">
        <v>99</v>
      </c>
      <c r="D15" s="15">
        <v>7.0000000000000007E-2</v>
      </c>
      <c r="F15" s="15">
        <v>7.0000000000000007E-2</v>
      </c>
      <c r="H15" s="15">
        <v>7.0000000000000007E-2</v>
      </c>
      <c r="I15" s="31"/>
      <c r="J15" s="69"/>
      <c r="K15" s="70"/>
    </row>
    <row r="16" spans="1:15" ht="60" x14ac:dyDescent="0.25">
      <c r="A16" s="20" t="s">
        <v>135</v>
      </c>
      <c r="B16" s="24" t="s">
        <v>100</v>
      </c>
      <c r="D16" s="30">
        <f>((D17+D19)*D3+D18*D4)/D3</f>
        <v>0.602417969924812</v>
      </c>
      <c r="F16" s="30">
        <f>((F17+F19)*F3+F18*F4)/F3</f>
        <v>0.31873097744360906</v>
      </c>
      <c r="H16" s="30">
        <f>((H17+H19)*H3+H18*H4)/H3</f>
        <v>0.11138086730969605</v>
      </c>
      <c r="I16" s="30"/>
      <c r="J16" s="69" t="s">
        <v>23</v>
      </c>
      <c r="K16" s="22" t="s">
        <v>175</v>
      </c>
    </row>
    <row r="17" spans="1:15" ht="18.399999999999999" customHeight="1" x14ac:dyDescent="0.25">
      <c r="A17" s="20" t="s">
        <v>136</v>
      </c>
      <c r="B17" s="24" t="s">
        <v>101</v>
      </c>
      <c r="C17" s="15">
        <v>0.67462500000000003</v>
      </c>
      <c r="D17" s="15">
        <v>0.52115</v>
      </c>
      <c r="E17" s="15">
        <v>0.37874999999999998</v>
      </c>
      <c r="F17" s="15">
        <v>0.27610000000000001</v>
      </c>
      <c r="H17" s="30">
        <f>4.89946048324775E+55*EXP(-0.063803*H2)</f>
        <v>7.6931120861241514E-2</v>
      </c>
      <c r="I17" s="30"/>
      <c r="J17" s="69"/>
      <c r="K17" s="70" t="s">
        <v>176</v>
      </c>
    </row>
    <row r="18" spans="1:15" ht="18.399999999999999" customHeight="1" x14ac:dyDescent="0.25">
      <c r="A18" s="20" t="s">
        <v>137</v>
      </c>
      <c r="B18" s="24" t="s">
        <v>102</v>
      </c>
      <c r="C18" s="15">
        <v>0.105</v>
      </c>
      <c r="D18" s="15">
        <v>8.5199999999999998E-2</v>
      </c>
      <c r="E18" s="15">
        <v>6.5600000000000006E-2</v>
      </c>
      <c r="F18" s="15">
        <v>5.0599999999999999E-2</v>
      </c>
      <c r="H18" s="30">
        <f>4.84984622498763E+44*EXP(-0.052156*H2)</f>
        <v>1.7825791495314873E-2</v>
      </c>
      <c r="I18" s="30"/>
      <c r="J18" s="69"/>
      <c r="K18" s="70"/>
    </row>
    <row r="19" spans="1:15" ht="75" x14ac:dyDescent="0.25">
      <c r="A19" s="12" t="s">
        <v>138</v>
      </c>
      <c r="B19" s="24" t="s">
        <v>103</v>
      </c>
      <c r="D19" s="15">
        <v>0.06</v>
      </c>
      <c r="F19" s="15">
        <v>0.03</v>
      </c>
      <c r="G19" s="32">
        <f>(F19-D19)/D19</f>
        <v>-0.5</v>
      </c>
      <c r="H19" s="31">
        <v>0.03</v>
      </c>
      <c r="I19" s="32">
        <f>(H19-F19)/F19</f>
        <v>0</v>
      </c>
      <c r="J19" s="27" t="s">
        <v>34</v>
      </c>
      <c r="K19" s="22" t="s">
        <v>177</v>
      </c>
      <c r="M19" s="33"/>
      <c r="N19" s="33"/>
    </row>
    <row r="20" spans="1:15" ht="108.4" customHeight="1" x14ac:dyDescent="0.25">
      <c r="A20" s="20" t="s">
        <v>139</v>
      </c>
      <c r="B20" s="24" t="s">
        <v>104</v>
      </c>
      <c r="D20" s="15">
        <f>(0.6*1.11)*1000*(2/0.5)*0.02</f>
        <v>53.28</v>
      </c>
      <c r="F20" s="15">
        <f>(0.35*1.11)*1000*(2/0.5)*0.015</f>
        <v>23.31</v>
      </c>
      <c r="G20" s="32">
        <f>(F20-D20)/D20</f>
        <v>-0.5625</v>
      </c>
      <c r="H20" s="15">
        <f>(0.33*1.11)*1000*(2/0.5)*0.015</f>
        <v>21.978000000000002</v>
      </c>
      <c r="I20" s="32">
        <f>(H20-F20)/F20</f>
        <v>-5.7142857142857023E-2</v>
      </c>
      <c r="J20" s="69" t="s">
        <v>34</v>
      </c>
      <c r="K20" s="70" t="s">
        <v>178</v>
      </c>
      <c r="L20" s="31">
        <f>VRF!C27</f>
        <v>9.4350000000000005</v>
      </c>
      <c r="M20" s="34">
        <f>L20*(1+G20)</f>
        <v>4.1278125000000001</v>
      </c>
      <c r="N20" s="34">
        <f>M20*(1+I20)</f>
        <v>3.8919375000000005</v>
      </c>
      <c r="O20" s="27" t="s">
        <v>116</v>
      </c>
    </row>
    <row r="21" spans="1:15" ht="30" x14ac:dyDescent="0.25">
      <c r="A21" s="20" t="s">
        <v>140</v>
      </c>
      <c r="B21" s="24" t="s">
        <v>105</v>
      </c>
      <c r="C21" s="31"/>
      <c r="D21" s="15">
        <f>0.9*1.11</f>
        <v>0.99900000000000011</v>
      </c>
      <c r="E21" s="31"/>
      <c r="F21" s="15">
        <f>0.9*1.11</f>
        <v>0.99900000000000011</v>
      </c>
      <c r="G21" s="32">
        <f>(F21-D21)/D21</f>
        <v>0</v>
      </c>
      <c r="H21" s="15">
        <f>0.9*1.11</f>
        <v>0.99900000000000011</v>
      </c>
      <c r="I21" s="32">
        <f>(H21-F21)/F21</f>
        <v>0</v>
      </c>
      <c r="J21" s="69"/>
      <c r="K21" s="70"/>
      <c r="L21" s="31">
        <f>VRF!C28</f>
        <v>0.99900000000000011</v>
      </c>
      <c r="M21" s="34">
        <f>L21*(1+G21)</f>
        <v>0.99900000000000011</v>
      </c>
      <c r="N21" s="34">
        <f>M21*(1+I21)</f>
        <v>0.99900000000000011</v>
      </c>
    </row>
    <row r="22" spans="1:15" ht="75" x14ac:dyDescent="0.25">
      <c r="A22" s="20" t="s">
        <v>121</v>
      </c>
      <c r="B22" s="24" t="s">
        <v>106</v>
      </c>
      <c r="D22" s="30">
        <f>((D17+D19)*D3+D18*D4)/D4</f>
        <v>2.4133009036144579</v>
      </c>
      <c r="F22" s="30">
        <f>((F17+F19)*F3+F18*F4)/F4</f>
        <v>1.2768439759036148</v>
      </c>
      <c r="H22" s="30">
        <f>((H17+H19)*H3+H18*H4)/H4</f>
        <v>0.44619443831896316</v>
      </c>
      <c r="I22" s="31"/>
      <c r="J22" s="27"/>
      <c r="K22" s="22" t="s">
        <v>179</v>
      </c>
    </row>
    <row r="23" spans="1:15" ht="90" x14ac:dyDescent="0.25">
      <c r="A23" s="13" t="s">
        <v>56</v>
      </c>
      <c r="B23" s="10" t="s">
        <v>107</v>
      </c>
      <c r="C23" s="15">
        <v>13000</v>
      </c>
      <c r="D23" s="15">
        <v>13000</v>
      </c>
      <c r="E23" s="15">
        <v>13000</v>
      </c>
      <c r="F23" s="15">
        <v>13000</v>
      </c>
      <c r="H23" s="26">
        <f>F23</f>
        <v>13000</v>
      </c>
      <c r="I23" s="31"/>
      <c r="J23" s="27" t="s">
        <v>23</v>
      </c>
      <c r="K23" s="22" t="s">
        <v>180</v>
      </c>
    </row>
    <row r="24" spans="1:15" ht="31.15" customHeight="1" x14ac:dyDescent="0.25">
      <c r="A24" s="12" t="s">
        <v>57</v>
      </c>
      <c r="B24" s="9" t="s">
        <v>108</v>
      </c>
      <c r="D24" s="31">
        <f>D26/(D3/D4)</f>
        <v>2.9455639097744362</v>
      </c>
      <c r="F24" s="31">
        <f>F26/(F3/F4)</f>
        <v>2.9455639097744362</v>
      </c>
      <c r="H24" s="31">
        <f>H26/(H3/H4)</f>
        <v>2.9455639097744362</v>
      </c>
      <c r="I24" s="26"/>
      <c r="J24" s="69" t="s">
        <v>34</v>
      </c>
      <c r="K24" s="22" t="s">
        <v>182</v>
      </c>
    </row>
    <row r="25" spans="1:15" ht="31.15" customHeight="1" x14ac:dyDescent="0.25">
      <c r="A25" s="12" t="s">
        <v>80</v>
      </c>
      <c r="B25" s="9" t="s">
        <v>109</v>
      </c>
      <c r="D25" s="26">
        <f>D27/(D3/D4)</f>
        <v>2256.6015037593984</v>
      </c>
      <c r="F25" s="26">
        <f>F27/(F3/F4)</f>
        <v>2256.6015037593984</v>
      </c>
      <c r="H25" s="26">
        <f>H27/(H3/H4)</f>
        <v>2256.6015037593984</v>
      </c>
      <c r="J25" s="69"/>
      <c r="K25" s="22" t="s">
        <v>182</v>
      </c>
    </row>
    <row r="26" spans="1:15" x14ac:dyDescent="0.25">
      <c r="A26" s="12" t="s">
        <v>59</v>
      </c>
      <c r="B26" s="9" t="s">
        <v>110</v>
      </c>
      <c r="D26" s="15">
        <v>11.8</v>
      </c>
      <c r="F26" s="15">
        <v>11.8</v>
      </c>
      <c r="H26" s="15">
        <v>11.8</v>
      </c>
      <c r="J26" s="69"/>
      <c r="K26" s="70" t="s">
        <v>181</v>
      </c>
    </row>
    <row r="27" spans="1:15" x14ac:dyDescent="0.25">
      <c r="A27" s="14" t="s">
        <v>81</v>
      </c>
      <c r="B27" s="11" t="s">
        <v>111</v>
      </c>
      <c r="D27" s="15">
        <v>9040</v>
      </c>
      <c r="F27" s="15">
        <v>9040</v>
      </c>
      <c r="H27" s="15">
        <v>9040</v>
      </c>
      <c r="J27" s="69"/>
      <c r="K27" s="70"/>
    </row>
    <row r="30" spans="1:15" s="22" customFormat="1" ht="15" x14ac:dyDescent="0.3">
      <c r="A30" s="6" t="s">
        <v>23</v>
      </c>
      <c r="B30" s="4" t="s">
        <v>69</v>
      </c>
      <c r="C30" s="35"/>
    </row>
    <row r="31" spans="1:15" s="22" customFormat="1" ht="15" x14ac:dyDescent="0.3">
      <c r="A31" s="6" t="s">
        <v>34</v>
      </c>
      <c r="B31" s="1" t="s">
        <v>117</v>
      </c>
      <c r="C31" s="35"/>
    </row>
    <row r="32" spans="1:15" s="22" customFormat="1" ht="15" x14ac:dyDescent="0.3">
      <c r="A32" s="6" t="s">
        <v>30</v>
      </c>
      <c r="B32" s="5" t="s">
        <v>70</v>
      </c>
      <c r="C32" s="35"/>
    </row>
    <row r="33" spans="1:3" s="22" customFormat="1" ht="15" x14ac:dyDescent="0.3">
      <c r="A33" s="6" t="s">
        <v>71</v>
      </c>
      <c r="B33" s="1" t="s">
        <v>72</v>
      </c>
      <c r="C33" s="35"/>
    </row>
    <row r="34" spans="1:3" s="22" customFormat="1" ht="15" x14ac:dyDescent="0.3">
      <c r="A34" s="6" t="s">
        <v>73</v>
      </c>
      <c r="B34" s="1" t="s">
        <v>118</v>
      </c>
      <c r="C34" s="35"/>
    </row>
    <row r="35" spans="1:3" s="22" customFormat="1" ht="15" x14ac:dyDescent="0.3">
      <c r="A35" s="6" t="s">
        <v>74</v>
      </c>
      <c r="B35" s="1" t="s">
        <v>75</v>
      </c>
      <c r="C35" s="35"/>
    </row>
    <row r="36" spans="1:3" s="22" customFormat="1" ht="15" x14ac:dyDescent="0.3">
      <c r="A36" s="6" t="s">
        <v>76</v>
      </c>
      <c r="B36" s="1" t="s">
        <v>119</v>
      </c>
      <c r="C36" s="35"/>
    </row>
    <row r="37" spans="1:3" s="22" customFormat="1" ht="15" x14ac:dyDescent="0.3">
      <c r="A37" s="6" t="s">
        <v>53</v>
      </c>
      <c r="B37" s="19" t="s">
        <v>120</v>
      </c>
      <c r="C37" s="35"/>
    </row>
  </sheetData>
  <mergeCells count="15">
    <mergeCell ref="O1:O2"/>
    <mergeCell ref="J13:J15"/>
    <mergeCell ref="K13:K15"/>
    <mergeCell ref="J7:J8"/>
    <mergeCell ref="J24:J27"/>
    <mergeCell ref="K7:K8"/>
    <mergeCell ref="K17:K18"/>
    <mergeCell ref="L1:N1"/>
    <mergeCell ref="J16:J18"/>
    <mergeCell ref="J3:J5"/>
    <mergeCell ref="K1:K2"/>
    <mergeCell ref="K3:K5"/>
    <mergeCell ref="J20:J21"/>
    <mergeCell ref="K20:K21"/>
    <mergeCell ref="K26:K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30"/>
  <sheetViews>
    <sheetView workbookViewId="0">
      <selection activeCell="B16" sqref="B16:J20"/>
    </sheetView>
  </sheetViews>
  <sheetFormatPr baseColWidth="10" defaultColWidth="11.42578125" defaultRowHeight="18" x14ac:dyDescent="0.25"/>
  <cols>
    <col min="1" max="1" width="66.5703125" style="37" customWidth="1"/>
    <col min="2" max="8" width="9.28515625" style="37" customWidth="1"/>
    <col min="9" max="9" width="11.5703125" style="37" customWidth="1"/>
    <col min="10" max="10" width="9.28515625" style="37" customWidth="1"/>
    <col min="11" max="16" width="9" style="37" customWidth="1"/>
    <col min="17" max="25" width="9" style="37" hidden="1" customWidth="1"/>
    <col min="26" max="26" width="26.85546875" style="37" customWidth="1"/>
    <col min="27" max="27" width="9.85546875" style="37" customWidth="1"/>
    <col min="28" max="16384" width="11.42578125" style="37"/>
  </cols>
  <sheetData>
    <row r="1" spans="1:26" ht="30" x14ac:dyDescent="0.25">
      <c r="A1" s="7"/>
      <c r="B1" s="7"/>
      <c r="C1" s="7"/>
      <c r="D1" s="7"/>
      <c r="E1" s="89" t="s">
        <v>0</v>
      </c>
      <c r="F1" s="89"/>
      <c r="G1" s="89" t="s">
        <v>1</v>
      </c>
      <c r="H1" s="89"/>
      <c r="I1" s="7"/>
      <c r="J1" s="89" t="s">
        <v>2</v>
      </c>
      <c r="K1" s="89"/>
      <c r="L1" s="89" t="s">
        <v>3</v>
      </c>
      <c r="M1" s="89"/>
      <c r="N1" s="89" t="s">
        <v>4</v>
      </c>
      <c r="O1" s="89"/>
      <c r="P1" s="7"/>
      <c r="Q1" s="17" t="s">
        <v>5</v>
      </c>
      <c r="R1" s="17" t="s">
        <v>6</v>
      </c>
      <c r="S1" s="17" t="s">
        <v>7</v>
      </c>
      <c r="T1" s="7"/>
      <c r="U1" s="7"/>
      <c r="V1" s="7"/>
      <c r="W1" s="7"/>
      <c r="X1" s="7"/>
      <c r="Y1" s="7"/>
      <c r="Z1" s="17" t="s">
        <v>112</v>
      </c>
    </row>
    <row r="2" spans="1:26" ht="30" customHeight="1" x14ac:dyDescent="0.25">
      <c r="A2" s="16" t="s">
        <v>8</v>
      </c>
      <c r="B2" s="17">
        <v>2020</v>
      </c>
      <c r="C2" s="17">
        <v>2030</v>
      </c>
      <c r="D2" s="17">
        <v>2050</v>
      </c>
      <c r="E2" s="7" t="s">
        <v>9</v>
      </c>
      <c r="F2" s="7" t="s">
        <v>10</v>
      </c>
      <c r="G2" s="7" t="s">
        <v>9</v>
      </c>
      <c r="H2" s="7" t="s">
        <v>10</v>
      </c>
      <c r="I2" s="7" t="s">
        <v>11</v>
      </c>
      <c r="J2" s="7" t="s">
        <v>9</v>
      </c>
      <c r="K2" s="7" t="s">
        <v>10</v>
      </c>
      <c r="L2" s="7" t="s">
        <v>9</v>
      </c>
      <c r="M2" s="7" t="s">
        <v>10</v>
      </c>
      <c r="N2" s="7" t="s">
        <v>9</v>
      </c>
      <c r="O2" s="7" t="s">
        <v>10</v>
      </c>
      <c r="P2" s="7"/>
      <c r="Q2" s="17">
        <v>2020</v>
      </c>
      <c r="R2" s="8">
        <f>J3</f>
        <v>-0.20512820512820512</v>
      </c>
      <c r="S2" s="8">
        <f>K3</f>
        <v>0.12820512820512819</v>
      </c>
      <c r="T2" s="17" t="s">
        <v>5</v>
      </c>
      <c r="U2" s="17" t="s">
        <v>6</v>
      </c>
      <c r="V2" s="17" t="s">
        <v>7</v>
      </c>
      <c r="W2" s="7"/>
      <c r="X2" s="7"/>
      <c r="Y2" s="7"/>
      <c r="Z2" s="81" t="s">
        <v>144</v>
      </c>
    </row>
    <row r="3" spans="1:26" ht="30" x14ac:dyDescent="0.25">
      <c r="A3" s="16" t="s">
        <v>125</v>
      </c>
      <c r="B3" s="7">
        <v>78</v>
      </c>
      <c r="C3" s="7">
        <v>78</v>
      </c>
      <c r="D3" s="7">
        <v>78</v>
      </c>
      <c r="E3" s="7">
        <v>62</v>
      </c>
      <c r="F3" s="7">
        <v>88</v>
      </c>
      <c r="G3" s="7">
        <v>67</v>
      </c>
      <c r="H3" s="7">
        <v>95</v>
      </c>
      <c r="I3" s="84" t="s">
        <v>34</v>
      </c>
      <c r="J3" s="38">
        <f>(E3-$B$3)/$B$3</f>
        <v>-0.20512820512820512</v>
      </c>
      <c r="K3" s="38">
        <f>(F3-$B$3)/$B$3</f>
        <v>0.12820512820512819</v>
      </c>
      <c r="L3" s="8">
        <f>(0.002137*C2)-4.521368</f>
        <v>-0.18325799999999948</v>
      </c>
      <c r="M3" s="8">
        <f>(0.002991*C2)-5.91453</f>
        <v>0.15720000000000045</v>
      </c>
      <c r="N3" s="38">
        <f>(G3-$D$3)/$D$3</f>
        <v>-0.14102564102564102</v>
      </c>
      <c r="O3" s="38">
        <f>(H3-$D$3)/$D$3</f>
        <v>0.21794871794871795</v>
      </c>
      <c r="P3" s="7"/>
      <c r="Q3" s="17">
        <v>2050</v>
      </c>
      <c r="R3" s="8">
        <f>N3</f>
        <v>-0.14102564102564102</v>
      </c>
      <c r="S3" s="8">
        <f>O3</f>
        <v>0.21794871794871795</v>
      </c>
      <c r="T3" s="17">
        <v>2020</v>
      </c>
      <c r="U3" s="8">
        <f>J4</f>
        <v>-0.7</v>
      </c>
      <c r="V3" s="8">
        <f>K4</f>
        <v>0.15</v>
      </c>
      <c r="W3" s="17" t="s">
        <v>5</v>
      </c>
      <c r="X3" s="17" t="s">
        <v>6</v>
      </c>
      <c r="Y3" s="17" t="s">
        <v>7</v>
      </c>
      <c r="Z3" s="82"/>
    </row>
    <row r="4" spans="1:26" x14ac:dyDescent="0.25">
      <c r="A4" s="16" t="s">
        <v>131</v>
      </c>
      <c r="B4" s="7">
        <v>20</v>
      </c>
      <c r="C4" s="7">
        <v>20</v>
      </c>
      <c r="D4" s="7">
        <v>20</v>
      </c>
      <c r="E4" s="7">
        <v>6</v>
      </c>
      <c r="F4" s="7">
        <v>23</v>
      </c>
      <c r="G4" s="7">
        <v>8</v>
      </c>
      <c r="H4" s="7">
        <v>32</v>
      </c>
      <c r="I4" s="84"/>
      <c r="J4" s="38">
        <f>(E4-$B$4)/$B$4</f>
        <v>-0.7</v>
      </c>
      <c r="K4" s="38">
        <f>(F4-$B$4)/$B$4</f>
        <v>0.15</v>
      </c>
      <c r="L4" s="8">
        <f>(0.003333*C2)-7.433333</f>
        <v>-0.6673429999999998</v>
      </c>
      <c r="M4" s="8">
        <f>(0.015*C2)-30.15</f>
        <v>0.30000000000000071</v>
      </c>
      <c r="N4" s="38">
        <f>(G4-$D$4)/$D$4</f>
        <v>-0.6</v>
      </c>
      <c r="O4" s="38">
        <f>(H4-$D$4)/$D$4</f>
        <v>0.6</v>
      </c>
      <c r="P4" s="7"/>
      <c r="Q4" s="17"/>
      <c r="R4" s="17"/>
      <c r="S4" s="17"/>
      <c r="T4" s="17">
        <v>2050</v>
      </c>
      <c r="U4" s="8">
        <f>N4</f>
        <v>-0.6</v>
      </c>
      <c r="V4" s="8">
        <f>O4</f>
        <v>0.6</v>
      </c>
      <c r="W4" s="17">
        <v>2020</v>
      </c>
      <c r="X4" s="8">
        <f>J5</f>
        <v>-0.20000000000000004</v>
      </c>
      <c r="Y4" s="8">
        <f>K5</f>
        <v>0.79999999999999982</v>
      </c>
      <c r="Z4" s="82"/>
    </row>
    <row r="5" spans="1:26" x14ac:dyDescent="0.25">
      <c r="A5" s="16" t="s">
        <v>142</v>
      </c>
      <c r="B5" s="7">
        <v>0.05</v>
      </c>
      <c r="C5" s="7">
        <v>0.03</v>
      </c>
      <c r="D5" s="7">
        <v>0.03</v>
      </c>
      <c r="E5" s="7">
        <v>0.04</v>
      </c>
      <c r="F5" s="7">
        <v>0.09</v>
      </c>
      <c r="G5" s="7">
        <v>0.02</v>
      </c>
      <c r="H5" s="7">
        <v>0.05</v>
      </c>
      <c r="I5" s="84"/>
      <c r="J5" s="38">
        <f>(E5-$B$5)/$B$5</f>
        <v>-0.20000000000000004</v>
      </c>
      <c r="K5" s="38">
        <f>(F5-$B$5)/$B$5</f>
        <v>0.79999999999999982</v>
      </c>
      <c r="L5" s="8">
        <f>(-0.004444*C2)+8.777778</f>
        <v>-0.2435419999999997</v>
      </c>
      <c r="M5" s="8">
        <f>(-0.004444*C2)+9.777778</f>
        <v>0.7564580000000003</v>
      </c>
      <c r="N5" s="38">
        <f>(G5-$D$5)/$D$5</f>
        <v>-0.33333333333333331</v>
      </c>
      <c r="O5" s="38">
        <f>(H5-$D$5)/$D$5</f>
        <v>0.66666666666666685</v>
      </c>
      <c r="P5" s="7"/>
      <c r="Q5" s="17"/>
      <c r="R5" s="8"/>
      <c r="S5" s="8"/>
      <c r="T5" s="7"/>
      <c r="U5" s="7"/>
      <c r="V5" s="7"/>
      <c r="W5" s="17">
        <v>2050</v>
      </c>
      <c r="X5" s="8">
        <f>N5</f>
        <v>-0.33333333333333331</v>
      </c>
      <c r="Y5" s="8">
        <f>O5</f>
        <v>0.66666666666666685</v>
      </c>
      <c r="Z5" s="82"/>
    </row>
    <row r="6" spans="1:26" x14ac:dyDescent="0.25">
      <c r="A6" s="16" t="s">
        <v>143</v>
      </c>
      <c r="B6" s="7">
        <f>VRF!C27</f>
        <v>9.4350000000000005</v>
      </c>
      <c r="C6" s="7">
        <f>VRF!D27</f>
        <v>4.1278125000000001</v>
      </c>
      <c r="D6" s="7">
        <f>VRF!E27</f>
        <v>3.8919375000000005</v>
      </c>
      <c r="E6" s="7">
        <f>VRF!F27</f>
        <v>3.774</v>
      </c>
      <c r="F6" s="7">
        <f>VRF!G27</f>
        <v>19.203000000000003</v>
      </c>
      <c r="G6" s="7"/>
      <c r="H6" s="7"/>
      <c r="I6" s="84"/>
      <c r="J6" s="38">
        <f>(E6-$B$6)/$B$6</f>
        <v>-0.6</v>
      </c>
      <c r="K6" s="38">
        <f>(F6-$B$6)/$B$6</f>
        <v>1.0352941176470589</v>
      </c>
      <c r="L6" s="8">
        <f>J6</f>
        <v>-0.6</v>
      </c>
      <c r="M6" s="8">
        <f>K6</f>
        <v>1.0352941176470589</v>
      </c>
      <c r="N6" s="38"/>
      <c r="O6" s="38"/>
      <c r="P6" s="7"/>
      <c r="Q6" s="17"/>
      <c r="R6" s="8"/>
      <c r="S6" s="8"/>
      <c r="T6" s="7"/>
      <c r="U6" s="7"/>
      <c r="V6" s="7"/>
      <c r="W6" s="7"/>
      <c r="X6" s="7"/>
      <c r="Y6" s="7"/>
      <c r="Z6" s="83"/>
    </row>
    <row r="7" spans="1:26" x14ac:dyDescent="0.25">
      <c r="A7" s="39"/>
    </row>
    <row r="8" spans="1:26" x14ac:dyDescent="0.25">
      <c r="A8" s="39"/>
    </row>
    <row r="9" spans="1:26" x14ac:dyDescent="0.25">
      <c r="A9" s="40"/>
      <c r="B9" s="90" t="s">
        <v>112</v>
      </c>
      <c r="C9" s="90"/>
      <c r="D9" s="90"/>
      <c r="E9" s="90"/>
      <c r="F9" s="90"/>
      <c r="G9" s="90"/>
      <c r="H9" s="90"/>
      <c r="I9" s="90"/>
      <c r="J9" s="90"/>
      <c r="K9" s="41"/>
      <c r="L9" s="41"/>
      <c r="M9" s="41"/>
      <c r="N9" s="42"/>
      <c r="O9" s="42"/>
    </row>
    <row r="10" spans="1:26" ht="19.149999999999999" customHeight="1" x14ac:dyDescent="0.25">
      <c r="A10" s="16" t="s">
        <v>145</v>
      </c>
      <c r="B10" s="84" t="s">
        <v>183</v>
      </c>
      <c r="C10" s="84"/>
      <c r="D10" s="84"/>
      <c r="E10" s="84"/>
      <c r="F10" s="84"/>
      <c r="G10" s="84"/>
      <c r="H10" s="84"/>
      <c r="I10" s="84"/>
      <c r="J10" s="84"/>
      <c r="K10" s="43"/>
      <c r="L10" s="43"/>
      <c r="M10" s="43"/>
      <c r="N10" s="44"/>
      <c r="O10" s="45"/>
    </row>
    <row r="11" spans="1:26" ht="19.149999999999999" customHeight="1" x14ac:dyDescent="0.25">
      <c r="A11" s="16" t="s">
        <v>146</v>
      </c>
      <c r="B11" s="84"/>
      <c r="C11" s="84"/>
      <c r="D11" s="84"/>
      <c r="E11" s="84"/>
      <c r="F11" s="84"/>
      <c r="G11" s="84"/>
      <c r="H11" s="84"/>
      <c r="I11" s="84"/>
      <c r="J11" s="84"/>
      <c r="K11" s="43"/>
      <c r="L11" s="43"/>
      <c r="M11" s="43"/>
      <c r="N11" s="44"/>
      <c r="O11" s="45"/>
    </row>
    <row r="12" spans="1:26" ht="19.149999999999999" customHeight="1" x14ac:dyDescent="0.25">
      <c r="A12" s="16" t="s">
        <v>147</v>
      </c>
      <c r="B12" s="84"/>
      <c r="C12" s="84"/>
      <c r="D12" s="84"/>
      <c r="E12" s="84"/>
      <c r="F12" s="84"/>
      <c r="G12" s="84"/>
      <c r="H12" s="84"/>
      <c r="I12" s="84"/>
      <c r="J12" s="84"/>
      <c r="K12" s="43"/>
      <c r="L12" s="43"/>
      <c r="M12" s="43"/>
      <c r="N12" s="44"/>
      <c r="O12" s="45"/>
    </row>
    <row r="13" spans="1:26" ht="20.85" customHeight="1" x14ac:dyDescent="0.25">
      <c r="A13" s="16" t="s">
        <v>163</v>
      </c>
      <c r="B13" s="84" t="s">
        <v>174</v>
      </c>
      <c r="C13" s="84"/>
      <c r="D13" s="84"/>
      <c r="E13" s="84"/>
      <c r="F13" s="84"/>
      <c r="G13" s="84"/>
      <c r="H13" s="84"/>
      <c r="I13" s="84"/>
      <c r="J13" s="84"/>
      <c r="K13" s="43"/>
      <c r="L13" s="43"/>
      <c r="M13" s="43"/>
      <c r="N13" s="44"/>
      <c r="O13" s="45"/>
    </row>
    <row r="14" spans="1:26" ht="20.85" customHeight="1" x14ac:dyDescent="0.25">
      <c r="A14" s="46" t="s">
        <v>164</v>
      </c>
      <c r="B14" s="84"/>
      <c r="C14" s="84"/>
      <c r="D14" s="84"/>
      <c r="E14" s="84"/>
      <c r="F14" s="84"/>
      <c r="G14" s="84"/>
      <c r="H14" s="84"/>
      <c r="I14" s="84"/>
      <c r="J14" s="84"/>
      <c r="K14" s="43"/>
      <c r="L14" s="43"/>
      <c r="M14" s="43"/>
      <c r="N14" s="44"/>
      <c r="O14" s="45"/>
    </row>
    <row r="15" spans="1:26" ht="25.35" customHeight="1" x14ac:dyDescent="0.25">
      <c r="A15" s="16" t="s">
        <v>148</v>
      </c>
      <c r="B15" s="72" t="s">
        <v>184</v>
      </c>
      <c r="C15" s="73"/>
      <c r="D15" s="73"/>
      <c r="E15" s="73"/>
      <c r="F15" s="73"/>
      <c r="G15" s="73"/>
      <c r="H15" s="73"/>
      <c r="I15" s="73"/>
      <c r="J15" s="74"/>
      <c r="K15" s="43"/>
      <c r="L15" s="43"/>
      <c r="M15" s="43"/>
      <c r="N15" s="44"/>
      <c r="O15" s="45"/>
    </row>
    <row r="16" spans="1:26" x14ac:dyDescent="0.25">
      <c r="A16" s="16" t="s">
        <v>149</v>
      </c>
      <c r="B16" s="75" t="s">
        <v>185</v>
      </c>
      <c r="C16" s="76"/>
      <c r="D16" s="76"/>
      <c r="E16" s="76"/>
      <c r="F16" s="76"/>
      <c r="G16" s="76"/>
      <c r="H16" s="76"/>
      <c r="I16" s="76"/>
      <c r="J16" s="77"/>
      <c r="K16" s="43"/>
      <c r="L16" s="47"/>
      <c r="M16" s="47"/>
      <c r="N16" s="44"/>
      <c r="O16" s="45"/>
    </row>
    <row r="17" spans="1:15" x14ac:dyDescent="0.25">
      <c r="A17" s="16" t="s">
        <v>150</v>
      </c>
      <c r="B17" s="86"/>
      <c r="C17" s="87"/>
      <c r="D17" s="87"/>
      <c r="E17" s="87"/>
      <c r="F17" s="87"/>
      <c r="G17" s="87"/>
      <c r="H17" s="87"/>
      <c r="I17" s="87"/>
      <c r="J17" s="88"/>
      <c r="K17" s="47"/>
      <c r="L17" s="47"/>
      <c r="M17" s="47"/>
      <c r="N17" s="44"/>
      <c r="O17" s="45"/>
    </row>
    <row r="18" spans="1:15" x14ac:dyDescent="0.25">
      <c r="A18" s="16" t="s">
        <v>151</v>
      </c>
      <c r="B18" s="86"/>
      <c r="C18" s="87"/>
      <c r="D18" s="87"/>
      <c r="E18" s="87"/>
      <c r="F18" s="87"/>
      <c r="G18" s="87"/>
      <c r="H18" s="87"/>
      <c r="I18" s="87"/>
      <c r="J18" s="88"/>
      <c r="K18" s="47"/>
      <c r="L18" s="47"/>
      <c r="M18" s="47"/>
      <c r="N18" s="44"/>
      <c r="O18" s="45"/>
    </row>
    <row r="19" spans="1:15" x14ac:dyDescent="0.25">
      <c r="A19" s="16" t="s">
        <v>152</v>
      </c>
      <c r="B19" s="86"/>
      <c r="C19" s="87"/>
      <c r="D19" s="87"/>
      <c r="E19" s="87"/>
      <c r="F19" s="87"/>
      <c r="G19" s="87"/>
      <c r="H19" s="87"/>
      <c r="I19" s="87"/>
      <c r="J19" s="88"/>
      <c r="K19" s="47"/>
      <c r="L19" s="47"/>
      <c r="M19" s="47"/>
      <c r="N19" s="44"/>
      <c r="O19" s="45"/>
    </row>
    <row r="20" spans="1:15" ht="30" x14ac:dyDescent="0.25">
      <c r="A20" s="16" t="s">
        <v>153</v>
      </c>
      <c r="B20" s="78"/>
      <c r="C20" s="79"/>
      <c r="D20" s="79"/>
      <c r="E20" s="79"/>
      <c r="F20" s="79"/>
      <c r="G20" s="79"/>
      <c r="H20" s="79"/>
      <c r="I20" s="79"/>
      <c r="J20" s="80"/>
      <c r="K20" s="47"/>
      <c r="L20" s="47"/>
      <c r="M20" s="47"/>
      <c r="N20" s="44"/>
      <c r="O20" s="45"/>
    </row>
    <row r="21" spans="1:15" ht="25.35" customHeight="1" x14ac:dyDescent="0.25">
      <c r="A21" s="16" t="s">
        <v>154</v>
      </c>
      <c r="B21" s="84" t="s">
        <v>175</v>
      </c>
      <c r="C21" s="84"/>
      <c r="D21" s="84"/>
      <c r="E21" s="84"/>
      <c r="F21" s="84"/>
      <c r="G21" s="84"/>
      <c r="H21" s="84"/>
      <c r="I21" s="84"/>
      <c r="J21" s="84"/>
      <c r="K21" s="43"/>
      <c r="L21" s="43"/>
      <c r="M21" s="43"/>
      <c r="N21" s="44"/>
      <c r="O21" s="45"/>
    </row>
    <row r="22" spans="1:15" ht="25.35" customHeight="1" x14ac:dyDescent="0.25">
      <c r="A22" s="16" t="s">
        <v>155</v>
      </c>
      <c r="B22" s="84" t="s">
        <v>186</v>
      </c>
      <c r="C22" s="84"/>
      <c r="D22" s="84"/>
      <c r="E22" s="84"/>
      <c r="F22" s="84"/>
      <c r="G22" s="84"/>
      <c r="H22" s="84"/>
      <c r="I22" s="84"/>
      <c r="J22" s="84"/>
      <c r="K22" s="43"/>
      <c r="L22" s="43"/>
      <c r="M22" s="43"/>
      <c r="N22" s="44"/>
      <c r="O22" s="45"/>
    </row>
    <row r="23" spans="1:15" ht="25.35" customHeight="1" x14ac:dyDescent="0.25">
      <c r="A23" s="16" t="s">
        <v>156</v>
      </c>
      <c r="B23" s="84"/>
      <c r="C23" s="84"/>
      <c r="D23" s="84"/>
      <c r="E23" s="84"/>
      <c r="F23" s="84"/>
      <c r="G23" s="84"/>
      <c r="H23" s="84"/>
      <c r="I23" s="84"/>
      <c r="J23" s="84"/>
      <c r="K23" s="43"/>
      <c r="L23" s="43"/>
      <c r="M23" s="43"/>
      <c r="N23" s="44"/>
      <c r="O23" s="45"/>
    </row>
    <row r="24" spans="1:15" ht="25.35" customHeight="1" x14ac:dyDescent="0.25">
      <c r="A24" s="16" t="s">
        <v>157</v>
      </c>
      <c r="B24" s="84" t="s">
        <v>187</v>
      </c>
      <c r="C24" s="84"/>
      <c r="D24" s="84"/>
      <c r="E24" s="84"/>
      <c r="F24" s="84"/>
      <c r="G24" s="84"/>
      <c r="H24" s="84"/>
      <c r="I24" s="84"/>
      <c r="J24" s="84"/>
      <c r="K24" s="43"/>
      <c r="L24" s="43"/>
      <c r="M24" s="43"/>
      <c r="N24" s="44"/>
      <c r="O24" s="45"/>
    </row>
    <row r="25" spans="1:15" ht="25.35" customHeight="1" x14ac:dyDescent="0.25">
      <c r="A25" s="16" t="s">
        <v>158</v>
      </c>
      <c r="B25" s="84" t="s">
        <v>179</v>
      </c>
      <c r="C25" s="84"/>
      <c r="D25" s="84"/>
      <c r="E25" s="84"/>
      <c r="F25" s="84"/>
      <c r="G25" s="84"/>
      <c r="H25" s="84"/>
      <c r="I25" s="84"/>
      <c r="J25" s="84"/>
      <c r="K25" s="43"/>
      <c r="L25" s="43"/>
      <c r="M25" s="43"/>
      <c r="N25" s="44"/>
      <c r="O25" s="45"/>
    </row>
    <row r="26" spans="1:15" ht="25.35" customHeight="1" x14ac:dyDescent="0.25">
      <c r="A26" s="16" t="s">
        <v>56</v>
      </c>
      <c r="B26" s="84" t="s">
        <v>188</v>
      </c>
      <c r="C26" s="85"/>
      <c r="D26" s="85"/>
      <c r="E26" s="85"/>
      <c r="F26" s="85"/>
      <c r="G26" s="85"/>
      <c r="H26" s="85"/>
      <c r="I26" s="85"/>
      <c r="J26" s="85"/>
      <c r="K26" s="43"/>
      <c r="L26" s="43"/>
      <c r="M26" s="43"/>
      <c r="N26" s="44"/>
      <c r="O26" s="45"/>
    </row>
    <row r="27" spans="1:15" ht="25.35" customHeight="1" x14ac:dyDescent="0.25">
      <c r="A27" s="16" t="s">
        <v>159</v>
      </c>
      <c r="B27" s="72" t="s">
        <v>182</v>
      </c>
      <c r="C27" s="73"/>
      <c r="D27" s="73"/>
      <c r="E27" s="73"/>
      <c r="F27" s="73"/>
      <c r="G27" s="73"/>
      <c r="H27" s="73"/>
      <c r="I27" s="73"/>
      <c r="J27" s="74"/>
      <c r="K27" s="43"/>
      <c r="L27" s="43"/>
      <c r="M27" s="43"/>
      <c r="N27" s="44"/>
      <c r="O27" s="45"/>
    </row>
    <row r="28" spans="1:15" ht="25.35" customHeight="1" x14ac:dyDescent="0.25">
      <c r="A28" s="16" t="s">
        <v>160</v>
      </c>
      <c r="B28" s="72" t="s">
        <v>182</v>
      </c>
      <c r="C28" s="73"/>
      <c r="D28" s="73"/>
      <c r="E28" s="73"/>
      <c r="F28" s="73"/>
      <c r="G28" s="73"/>
      <c r="H28" s="73"/>
      <c r="I28" s="73"/>
      <c r="J28" s="74"/>
      <c r="K28" s="43"/>
      <c r="L28" s="43"/>
      <c r="M28" s="43"/>
      <c r="N28" s="44"/>
      <c r="O28" s="45"/>
    </row>
    <row r="29" spans="1:15" ht="23.85" customHeight="1" x14ac:dyDescent="0.25">
      <c r="A29" s="16" t="s">
        <v>161</v>
      </c>
      <c r="B29" s="75" t="s">
        <v>185</v>
      </c>
      <c r="C29" s="76"/>
      <c r="D29" s="76"/>
      <c r="E29" s="76"/>
      <c r="F29" s="76"/>
      <c r="G29" s="76"/>
      <c r="H29" s="76"/>
      <c r="I29" s="76"/>
      <c r="J29" s="77"/>
      <c r="K29" s="43"/>
      <c r="L29" s="43"/>
      <c r="M29" s="43"/>
      <c r="N29" s="44"/>
      <c r="O29" s="45"/>
    </row>
    <row r="30" spans="1:15" ht="23.85" customHeight="1" x14ac:dyDescent="0.25">
      <c r="A30" s="16" t="s">
        <v>162</v>
      </c>
      <c r="B30" s="78"/>
      <c r="C30" s="79"/>
      <c r="D30" s="79"/>
      <c r="E30" s="79"/>
      <c r="F30" s="79"/>
      <c r="G30" s="79"/>
      <c r="H30" s="79"/>
      <c r="I30" s="79"/>
      <c r="J30" s="80"/>
      <c r="K30" s="43"/>
      <c r="L30" s="43"/>
      <c r="M30" s="43"/>
      <c r="N30" s="44"/>
      <c r="O30" s="45"/>
    </row>
  </sheetData>
  <mergeCells count="20">
    <mergeCell ref="E1:F1"/>
    <mergeCell ref="G1:H1"/>
    <mergeCell ref="J1:K1"/>
    <mergeCell ref="L1:M1"/>
    <mergeCell ref="N1:O1"/>
    <mergeCell ref="B27:J27"/>
    <mergeCell ref="B28:J28"/>
    <mergeCell ref="B29:J30"/>
    <mergeCell ref="Z2:Z6"/>
    <mergeCell ref="B26:J26"/>
    <mergeCell ref="B24:J24"/>
    <mergeCell ref="B25:J25"/>
    <mergeCell ref="B16:J20"/>
    <mergeCell ref="B21:J21"/>
    <mergeCell ref="B22:J23"/>
    <mergeCell ref="I3:I6"/>
    <mergeCell ref="B9:J9"/>
    <mergeCell ref="B10:J12"/>
    <mergeCell ref="B13:J14"/>
    <mergeCell ref="B15:J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Gráficos</vt:lpstr>
      </vt:variant>
      <vt:variant>
        <vt:i4>8</vt:i4>
      </vt:variant>
    </vt:vector>
  </HeadingPairs>
  <TitlesOfParts>
    <vt:vector size="11" baseType="lpstr">
      <vt:lpstr>VRF</vt:lpstr>
      <vt:lpstr>Data</vt:lpstr>
      <vt:lpstr>Uncertanties</vt:lpstr>
      <vt:lpstr>03URT_L</vt:lpstr>
      <vt:lpstr>03URT_U</vt:lpstr>
      <vt:lpstr>04UTL_L</vt:lpstr>
      <vt:lpstr>04ULT_U</vt:lpstr>
      <vt:lpstr>05UOP_L</vt:lpstr>
      <vt:lpstr>05UOP_U</vt:lpstr>
      <vt:lpstr>17_EC</vt:lpstr>
      <vt:lpstr>18_CC</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Ulises</cp:lastModifiedBy>
  <cp:revision/>
  <dcterms:created xsi:type="dcterms:W3CDTF">2020-01-17T03:10:03Z</dcterms:created>
  <dcterms:modified xsi:type="dcterms:W3CDTF">2020-05-19T15:28:52Z</dcterms:modified>
</cp:coreProperties>
</file>