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H:\03-PROY ALM ENE\04-INFORMES\R-D2\Tablas V11\"/>
    </mc:Choice>
  </mc:AlternateContent>
  <xr:revisionPtr revIDLastSave="0" documentId="13_ncr:1_{7899799B-B099-450E-B7A3-83149092930A}" xr6:coauthVersionLast="45" xr6:coauthVersionMax="45" xr10:uidLastSave="{00000000-0000-0000-0000-000000000000}"/>
  <bookViews>
    <workbookView xWindow="-120" yWindow="-120" windowWidth="29040" windowHeight="15840" xr2:uid="{00000000-000D-0000-FFFF-FFFF00000000}"/>
  </bookViews>
  <sheets>
    <sheet name="LA" sheetId="4" r:id="rId1"/>
    <sheet name="Data" sheetId="1" r:id="rId2"/>
    <sheet name="Uncertanties" sheetId="12" r:id="rId3"/>
    <sheet name="17_EC" sheetId="8" r:id="rId4"/>
    <sheet name="22_LTN" sheetId="11" r:id="rId5"/>
    <sheet name="25_SE" sheetId="21" r:id="rId6"/>
    <sheet name="26_ED" sheetId="22" r:id="rId7"/>
  </sheets>
  <externalReferences>
    <externalReference r:id="rId8"/>
    <externalReference r:id="rId9"/>
    <externalReference r:id="rId10"/>
  </externalReferences>
  <definedNames>
    <definedName name="BTV11_15">'[1]arbejds ark LARGE New'!$K$33</definedName>
    <definedName name="BVT17_15">'[1]arbejds ark LARGE New'!$S$67</definedName>
    <definedName name="EUR16tilEUR15">'[1]22 Photovoltaics  LARGE Old'!$N$2</definedName>
    <definedName name="Index" localSheetId="0">#REF!</definedName>
    <definedName name="Index">#REF!</definedName>
    <definedName name="Sheet" localSheetId="0">#REF!</definedName>
    <definedName name="Sheet">#REF!</definedName>
    <definedName name="Start10" localSheetId="0">'[2]Li-Ion Battery'!#REF!</definedName>
    <definedName name="Start10">'[3]03 Lithium Ion Battery'!#REF!</definedName>
    <definedName name="Start11" localSheetId="0">LA!#REF!</definedName>
    <definedName name="Start12" localSheetId="0">'[2]Molten Salt'!#REF!</definedName>
    <definedName name="Start13" localSheetId="0">#REF!</definedName>
    <definedName name="Start13">#REF!</definedName>
    <definedName name="Start14" localSheetId="0">#REF!</definedName>
    <definedName name="Start14">#REF!</definedName>
    <definedName name="Start15" localSheetId="0">#REF!</definedName>
    <definedName name="Start15">#REF!</definedName>
    <definedName name="Start16" localSheetId="0">#REF!</definedName>
    <definedName name="Start16">#REF!</definedName>
    <definedName name="Start17" localSheetId="0">#REF!</definedName>
    <definedName name="Start17">#REF!</definedName>
    <definedName name="Start18" localSheetId="0">#REF!</definedName>
    <definedName name="Start18">#REF!</definedName>
    <definedName name="Start19" localSheetId="0">#REF!</definedName>
    <definedName name="Start19">#REF!</definedName>
    <definedName name="Start2" localSheetId="0">#REF!</definedName>
    <definedName name="Start2">#REF!</definedName>
    <definedName name="Start20" localSheetId="0">#REF!</definedName>
    <definedName name="Start20">#REF!</definedName>
    <definedName name="Start21" localSheetId="0">#REF!</definedName>
    <definedName name="Start21">#REF!</definedName>
    <definedName name="Start22" localSheetId="0">#REF!</definedName>
    <definedName name="Start22">#REF!</definedName>
    <definedName name="Start23" localSheetId="0">#REF!</definedName>
    <definedName name="Start23">#REF!</definedName>
    <definedName name="Start24" localSheetId="0">#REF!</definedName>
    <definedName name="Start24">#REF!</definedName>
    <definedName name="Start25" localSheetId="0">#REF!</definedName>
    <definedName name="Start25">#REF!</definedName>
    <definedName name="Start26" localSheetId="0">#REF!</definedName>
    <definedName name="Start26">#REF!</definedName>
    <definedName name="Start27" localSheetId="0">#REF!</definedName>
    <definedName name="Start27">#REF!</definedName>
    <definedName name="Start28" localSheetId="0">#REF!</definedName>
    <definedName name="Start28">#REF!</definedName>
    <definedName name="Start29" localSheetId="0">#REF!</definedName>
    <definedName name="Start29">#REF!</definedName>
    <definedName name="Start3" localSheetId="0">#REF!</definedName>
    <definedName name="Start3">#REF!</definedName>
    <definedName name="Start30" localSheetId="0">#REF!</definedName>
    <definedName name="Start30">#REF!</definedName>
    <definedName name="Start31" localSheetId="0">#REF!</definedName>
    <definedName name="Start31">#REF!</definedName>
    <definedName name="Start32" localSheetId="0">#REF!</definedName>
    <definedName name="Start32">#REF!</definedName>
    <definedName name="Start33" localSheetId="0">#REF!</definedName>
    <definedName name="Start33">#REF!</definedName>
    <definedName name="Start34" localSheetId="0">#REF!</definedName>
    <definedName name="Start34">#REF!</definedName>
    <definedName name="Start35" localSheetId="0">#REF!</definedName>
    <definedName name="Start35">#REF!</definedName>
    <definedName name="Start36" localSheetId="0">#REF!</definedName>
    <definedName name="Start36">#REF!</definedName>
    <definedName name="Start37" localSheetId="0">#REF!</definedName>
    <definedName name="Start37">#REF!</definedName>
    <definedName name="Start38" localSheetId="0">#REF!</definedName>
    <definedName name="Start38">#REF!</definedName>
    <definedName name="Start39" localSheetId="0">#REF!</definedName>
    <definedName name="Start39">#REF!</definedName>
    <definedName name="Start4" localSheetId="0">#REF!</definedName>
    <definedName name="Start4">#REF!</definedName>
    <definedName name="Start40" localSheetId="0">#REF!</definedName>
    <definedName name="Start40">#REF!</definedName>
    <definedName name="Start41" localSheetId="0">#REF!</definedName>
    <definedName name="Start41">#REF!</definedName>
    <definedName name="Start42" localSheetId="0">#REF!</definedName>
    <definedName name="Start42">#REF!</definedName>
    <definedName name="Start43" localSheetId="0">#REF!</definedName>
    <definedName name="Start43">#REF!</definedName>
    <definedName name="Start44" localSheetId="0">#REF!</definedName>
    <definedName name="Start44">#REF!</definedName>
    <definedName name="Start45" localSheetId="0">#REF!</definedName>
    <definedName name="Start45">#REF!</definedName>
    <definedName name="Start46" localSheetId="0">#REF!</definedName>
    <definedName name="Start46">#REF!</definedName>
    <definedName name="Start47" localSheetId="0">#REF!</definedName>
    <definedName name="Start47">#REF!</definedName>
    <definedName name="Start5" localSheetId="0">#REF!</definedName>
    <definedName name="Start5">#REF!</definedName>
    <definedName name="Start6" localSheetId="0">#REF!</definedName>
    <definedName name="Start6">#REF!</definedName>
    <definedName name="Start7" localSheetId="0">#REF!</definedName>
    <definedName name="Start7">#REF!</definedName>
    <definedName name="Start8" localSheetId="0">[2]CAES!#REF!</definedName>
    <definedName name="Start9" localSheetId="0">[2]Flywheels!#REF!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6" i="1" l="1"/>
  <c r="D35" i="1"/>
  <c r="L5" i="12"/>
  <c r="K5" i="12"/>
  <c r="J5" i="12"/>
  <c r="I5" i="12"/>
  <c r="L4" i="12"/>
  <c r="K4" i="12"/>
  <c r="J4" i="12"/>
  <c r="I4" i="12"/>
  <c r="J26" i="1"/>
  <c r="J24" i="1" s="1"/>
  <c r="J25" i="1"/>
  <c r="J23" i="1" s="1"/>
  <c r="H24" i="1"/>
  <c r="F24" i="1"/>
  <c r="F23" i="1"/>
  <c r="H23" i="1"/>
  <c r="I3" i="12"/>
  <c r="N26" i="1" l="1"/>
  <c r="N24" i="1" s="1"/>
  <c r="G18" i="4"/>
  <c r="F18" i="4"/>
  <c r="D18" i="4"/>
  <c r="C18" i="4"/>
  <c r="F19" i="1"/>
  <c r="H19" i="1" s="1"/>
  <c r="J19" i="1" s="1"/>
  <c r="F20" i="1"/>
  <c r="H20" i="1" s="1"/>
  <c r="J20" i="1" s="1"/>
  <c r="H18" i="4" l="1"/>
  <c r="J7" i="1" l="1"/>
  <c r="J8" i="1" s="1"/>
  <c r="H7" i="1"/>
  <c r="H8" i="1" s="1"/>
  <c r="F7" i="1"/>
  <c r="F8" i="1" s="1"/>
  <c r="C11" i="4"/>
  <c r="J18" i="1" l="1"/>
  <c r="N18" i="1" l="1"/>
  <c r="C30" i="4" l="1"/>
  <c r="F21" i="1" s="1"/>
  <c r="G28" i="4"/>
  <c r="F28" i="4"/>
  <c r="H28" i="4" s="1"/>
  <c r="E28" i="4"/>
  <c r="D28" i="4"/>
  <c r="C28" i="4"/>
  <c r="G27" i="4"/>
  <c r="F27" i="4"/>
  <c r="E27" i="4" l="1"/>
  <c r="D27" i="4"/>
  <c r="C27" i="4"/>
  <c r="D34" i="1" l="1"/>
  <c r="Q4" i="1"/>
  <c r="F25" i="4"/>
  <c r="F30" i="4" s="1"/>
  <c r="F16" i="4"/>
  <c r="L3" i="12"/>
  <c r="K3" i="12"/>
  <c r="J3" i="12"/>
  <c r="I16" i="4" s="1"/>
  <c r="H16" i="4"/>
  <c r="C33" i="4" l="1"/>
  <c r="N25" i="1"/>
  <c r="G16" i="4"/>
  <c r="F23" i="4"/>
  <c r="C34" i="4"/>
  <c r="J12" i="1"/>
  <c r="H12" i="1"/>
  <c r="I11" i="4"/>
  <c r="I12" i="4" s="1"/>
  <c r="H11" i="4"/>
  <c r="H12" i="4" s="1"/>
  <c r="G11" i="4"/>
  <c r="G12" i="4" s="1"/>
  <c r="F11" i="4"/>
  <c r="F12" i="4" s="1"/>
  <c r="N23" i="1" l="1"/>
  <c r="F34" i="4"/>
  <c r="F32" i="4" s="1"/>
  <c r="G34" i="4"/>
  <c r="G32" i="4" s="1"/>
  <c r="F33" i="4"/>
  <c r="F31" i="4" s="1"/>
  <c r="C31" i="4"/>
  <c r="G33" i="4"/>
  <c r="G31" i="4" s="1"/>
  <c r="C32" i="4"/>
  <c r="I28" i="4"/>
  <c r="I27" i="4"/>
  <c r="H27" i="4"/>
  <c r="I18" i="1"/>
  <c r="O18" i="1" s="1"/>
  <c r="D25" i="4" s="1"/>
  <c r="G25" i="4"/>
  <c r="I25" i="4" l="1"/>
  <c r="H25" i="4"/>
  <c r="H30" i="4" s="1"/>
  <c r="G30" i="4"/>
  <c r="G23" i="4"/>
  <c r="J22" i="1"/>
  <c r="E18" i="4" s="1"/>
  <c r="I18" i="4" l="1"/>
  <c r="C23" i="4"/>
  <c r="E11" i="4"/>
  <c r="E12" i="4" s="1"/>
  <c r="D11" i="4"/>
  <c r="D12" i="4" s="1"/>
  <c r="C12" i="4"/>
  <c r="J17" i="1" l="1"/>
  <c r="J16" i="1"/>
  <c r="K26" i="1" l="1"/>
  <c r="K25" i="1"/>
  <c r="I26" i="1"/>
  <c r="O26" i="1" s="1"/>
  <c r="I25" i="1"/>
  <c r="O25" i="1" l="1"/>
  <c r="D34" i="4"/>
  <c r="O24" i="1"/>
  <c r="P26" i="1"/>
  <c r="K18" i="1"/>
  <c r="P18" i="1" s="1"/>
  <c r="E25" i="4" s="1"/>
  <c r="D24" i="4"/>
  <c r="E24" i="4"/>
  <c r="O23" i="1" l="1"/>
  <c r="P25" i="1"/>
  <c r="D33" i="4"/>
  <c r="E34" i="4"/>
  <c r="E32" i="4" s="1"/>
  <c r="P24" i="1"/>
  <c r="D32" i="4"/>
  <c r="H34" i="4"/>
  <c r="H32" i="4" s="1"/>
  <c r="I34" i="4"/>
  <c r="I32" i="4" s="1"/>
  <c r="D23" i="4"/>
  <c r="D30" i="4"/>
  <c r="H21" i="1" s="1"/>
  <c r="E23" i="4"/>
  <c r="E30" i="4"/>
  <c r="J21" i="1" s="1"/>
  <c r="P23" i="1" l="1"/>
  <c r="E33" i="4"/>
  <c r="E31" i="4" s="1"/>
  <c r="D31" i="4"/>
  <c r="H33" i="4"/>
  <c r="H31" i="4" s="1"/>
  <c r="I33" i="4"/>
  <c r="I31" i="4" s="1"/>
  <c r="H23" i="4"/>
  <c r="I23" i="4"/>
  <c r="I30"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Christoph Wolter</author>
  </authors>
  <commentList>
    <comment ref="B44" authorId="0" shapeId="0" xr:uid="{00000000-0006-0000-0100-000001000000}">
      <text>
        <r>
          <rPr>
            <b/>
            <sz val="9"/>
            <color indexed="81"/>
            <rFont val="Tahoma"/>
            <family val="2"/>
          </rPr>
          <t>Christoph Wolter:</t>
        </r>
        <r>
          <rPr>
            <sz val="9"/>
            <color indexed="81"/>
            <rFont val="Tahoma"/>
            <family val="2"/>
          </rPr>
          <t xml:space="preserve">
Please rewrite the reference as in the other chapters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Christoph Wolter</author>
  </authors>
  <commentList>
    <comment ref="B36" authorId="0" shapeId="0" xr:uid="{00000000-0006-0000-0200-000001000000}">
      <text>
        <r>
          <rPr>
            <b/>
            <sz val="9"/>
            <color indexed="81"/>
            <rFont val="Tahoma"/>
            <family val="2"/>
          </rPr>
          <t>Christoph Wolter:</t>
        </r>
        <r>
          <rPr>
            <sz val="9"/>
            <color indexed="81"/>
            <rFont val="Tahoma"/>
            <family val="2"/>
          </rPr>
          <t xml:space="preserve">
Please rewrite the reference as in the other chapters</t>
        </r>
      </text>
    </comment>
  </commentList>
</comments>
</file>

<file path=xl/sharedStrings.xml><?xml version="1.0" encoding="utf-8"?>
<sst xmlns="http://schemas.openxmlformats.org/spreadsheetml/2006/main" count="301" uniqueCount="212">
  <si>
    <t>Technology</t>
  </si>
  <si>
    <t>Uncertainty (2020)</t>
  </si>
  <si>
    <t>Note</t>
  </si>
  <si>
    <t>Ref</t>
  </si>
  <si>
    <t>Energy/technical data</t>
  </si>
  <si>
    <t>Lower</t>
  </si>
  <si>
    <t>Upper</t>
  </si>
  <si>
    <t>Upper </t>
  </si>
  <si>
    <t>Form of energy stored</t>
  </si>
  <si>
    <t>Electro-chemical</t>
  </si>
  <si>
    <t>Application</t>
  </si>
  <si>
    <t>Frequency Restoration Reserve (2h)</t>
  </si>
  <si>
    <t>Energy storage capacity for one unit (MWh)</t>
  </si>
  <si>
    <t>[1]</t>
  </si>
  <si>
    <t>Output capacity for one unit (MW)</t>
  </si>
  <si>
    <t>Input capacity for one unit (MW)</t>
  </si>
  <si>
    <t>A</t>
  </si>
  <si>
    <t>Round trip efficiency - DC (%)</t>
  </si>
  <si>
    <t>B</t>
  </si>
  <si>
    <t xml:space="preserve"> - Discharge efficiency (%)</t>
  </si>
  <si>
    <t>[2]</t>
  </si>
  <si>
    <t>Energy losses during storage (%/day)</t>
  </si>
  <si>
    <t>[6]</t>
  </si>
  <si>
    <t>Forced outage (%)</t>
  </si>
  <si>
    <t>C</t>
  </si>
  <si>
    <t>Planned outage (weeks per year)</t>
  </si>
  <si>
    <t>D</t>
  </si>
  <si>
    <t>Technical lifetime (years)</t>
  </si>
  <si>
    <t>average</t>
  </si>
  <si>
    <t>Construction time (years)</t>
  </si>
  <si>
    <t>[3]</t>
  </si>
  <si>
    <t>Regulation ability</t>
  </si>
  <si>
    <t>Response time from idle to full-rated discharge (sec)</t>
  </si>
  <si>
    <t>E</t>
  </si>
  <si>
    <t>Response time from full-rated charge to full-rated discharge (sec)</t>
  </si>
  <si>
    <t>[4]</t>
  </si>
  <si>
    <t xml:space="preserve">Financial data                                 </t>
  </si>
  <si>
    <t>Specific investment (MUSD$2020 per MWh)</t>
  </si>
  <si>
    <t>F</t>
  </si>
  <si>
    <t xml:space="preserve"> - energy component (MUSD/MWh)</t>
  </si>
  <si>
    <t>G</t>
  </si>
  <si>
    <t xml:space="preserve"> - capacity component (MUSD$/MW) </t>
  </si>
  <si>
    <t>H</t>
  </si>
  <si>
    <t xml:space="preserve"> - other project costs (MUSD$/MWh)</t>
  </si>
  <si>
    <t xml:space="preserve">Technology specific data                                 </t>
  </si>
  <si>
    <t>Alternative Investment cost (M$USD2020/MW)</t>
  </si>
  <si>
    <t>Lifetime in total number of cycles</t>
  </si>
  <si>
    <t>[7]</t>
  </si>
  <si>
    <t>Specific power (W/kg)</t>
  </si>
  <si>
    <t>Specific energy (Wh/kg)</t>
  </si>
  <si>
    <t>Notes:</t>
  </si>
  <si>
    <t>Assumed to be the same as output</t>
  </si>
  <si>
    <t>IRENA has a slightly increasing projection, but only starts at 82%. Several studies mention a range between 84% to 86%, an average of 85% is commonly assumed for today.</t>
  </si>
  <si>
    <t>It is assumed that no forced outage is necessary due to the maturity level of the technology</t>
  </si>
  <si>
    <t>Flooded lead-acid batteries require refilling, for which the outage however could be reduced over time due to automation. The bigger valve-regulated lead-acid batteries do not require refilling. Values are assumed based on comparison with Li-Ion battery sheet</t>
  </si>
  <si>
    <t>Assumed to be in the range of full-rated response time</t>
  </si>
  <si>
    <t>This data is interpreted within the IRENA tool as: "Energy Installation cost". But also estimated by: Total Storage Invest/Installed Storage Capacity</t>
  </si>
  <si>
    <t>References</t>
  </si>
  <si>
    <t>IRENA (2017). Electricity storage and renewables: Costs and markets to 2030. Cost of service tool. Available in: https://www.irena.org/publications/2017/Oct/Electricity-storage-and-renewables-costs-and-markets</t>
  </si>
  <si>
    <t>Luo, X., Wang, J., Dooner, M., &amp; Clarke, J. (2015). Overview of current development in electrical energy storage technologies and the application potential in power system operation. Applied Energy, 137, 511–536. https://doi.org/https://doi.org/10.1016/j.apenergy.2014.09.081</t>
  </si>
  <si>
    <t>Schmidt, O., Melchior, S., Hawkes, A., &amp; Staffell, I. (2019). Projecting the Future Levelized Cost of Electricity Storage Technologies. Joule, 3(1), 81–100. https://doi.org/10.1016/j.joule.2018.12.008</t>
  </si>
  <si>
    <t>May, G. J., Davidson, A., &amp; Monahov, B. (2018). Lead batteries for utility energy storage: A review. Journal of Energy Storage, 15, 145–157. https://doi.org/10.1016/j.est.2017.11.008</t>
  </si>
  <si>
    <t>[5]</t>
  </si>
  <si>
    <t>https://www.irena.org/-/media/Files/IRENA/Agency/Events/2017/Mar/15/2017_Kairies_Battery_Cost_and_Performance_01.pdf</t>
  </si>
  <si>
    <t>[8]</t>
  </si>
  <si>
    <t>Lazard levelized cost of storage 2016</t>
  </si>
  <si>
    <t>Technical Data</t>
  </si>
  <si>
    <t>Reference</t>
  </si>
  <si>
    <t>Lifetime in Total Number of Cycle</t>
  </si>
  <si>
    <t>Variable O&amp;M ($USD2020/MWh/year)</t>
  </si>
  <si>
    <t>2020 (Uncertainty)</t>
  </si>
  <si>
    <t>Exchange ratio 2020</t>
  </si>
  <si>
    <t>Exchange ratio 2030</t>
  </si>
  <si>
    <t>2030 (Uncertainty)</t>
  </si>
  <si>
    <t>C-rate</t>
  </si>
  <si>
    <t>Weight</t>
  </si>
  <si>
    <t>Volume</t>
  </si>
  <si>
    <t>kg</t>
  </si>
  <si>
    <t>m3</t>
  </si>
  <si>
    <t>Energy</t>
  </si>
  <si>
    <t>W</t>
  </si>
  <si>
    <t>m</t>
  </si>
  <si>
    <t>L</t>
  </si>
  <si>
    <t>Fullriver Battery. https://www.wholesalesolar.com/cms/fullriver-dc400-6-agm-battery-specs-4017212128.pdf</t>
  </si>
  <si>
    <t>kWh</t>
  </si>
  <si>
    <t>Energy density (kWh/m3)</t>
  </si>
  <si>
    <t>Array 1660 Ah, 48 VDC, 79,68 kWh (8x4)</t>
  </si>
  <si>
    <t>Power density (kW/m3)</t>
  </si>
  <si>
    <t>Fixed O&amp;M (kUSD2020/MW/year)</t>
  </si>
  <si>
    <t>[3], [1]</t>
  </si>
  <si>
    <t>The central data is based on values from [3], while uncertainty ranges correspond to the relative span of values from [1]</t>
  </si>
  <si>
    <t>ABB</t>
  </si>
  <si>
    <t>ESC</t>
  </si>
  <si>
    <t>OCO</t>
  </si>
  <si>
    <t>ICO</t>
  </si>
  <si>
    <t>RTE</t>
  </si>
  <si>
    <t>CE</t>
  </si>
  <si>
    <t>DE</t>
  </si>
  <si>
    <t>ELS</t>
  </si>
  <si>
    <t>FO</t>
  </si>
  <si>
    <t>PO</t>
  </si>
  <si>
    <t>TL</t>
  </si>
  <si>
    <t>CT</t>
  </si>
  <si>
    <t>RTI</t>
  </si>
  <si>
    <t>RTF</t>
  </si>
  <si>
    <t>SI</t>
  </si>
  <si>
    <t>EC</t>
  </si>
  <si>
    <t>CC</t>
  </si>
  <si>
    <t>FOM</t>
  </si>
  <si>
    <t>VOM</t>
  </si>
  <si>
    <t>AIC</t>
  </si>
  <si>
    <t>LTN</t>
  </si>
  <si>
    <t>SP</t>
  </si>
  <si>
    <t>PD</t>
  </si>
  <si>
    <t>SE</t>
  </si>
  <si>
    <t>ED</t>
  </si>
  <si>
    <t>NOTE</t>
  </si>
  <si>
    <t>[2], [3], [7]</t>
  </si>
  <si>
    <t>[3],[4], [6], [7]</t>
  </si>
  <si>
    <t>Uncertainty (2030)</t>
  </si>
  <si>
    <t>[9]</t>
  </si>
  <si>
    <t>[1], [3], [4], [7]</t>
  </si>
  <si>
    <t>Prodecure followed to determine the projection</t>
  </si>
  <si>
    <t>Dimensions for array 1660 Ah, 48 VDC, 79,68 kWh (8x4) battery</t>
  </si>
  <si>
    <t>Exchange ratio between the years 2020 and 2030</t>
  </si>
  <si>
    <t>Exchange ratio between the years 2030 and 2050</t>
  </si>
  <si>
    <t>20 - 30</t>
  </si>
  <si>
    <t>30 - 50</t>
  </si>
  <si>
    <t>1. The uncertainty for these parameters has the same behaviour  to [9] because the design is based on the same operational capacities of the energy storage system.</t>
  </si>
  <si>
    <t>1. The uncertainty is calculated with the similar numerical behaviour from [1]</t>
  </si>
  <si>
    <r>
      <t xml:space="preserve">Zakeri, B., &amp; Syri, S. (2015). Electrical energy storage systems: A comparative life cycle cost analysis. </t>
    </r>
    <r>
      <rPr>
        <i/>
        <sz val="10"/>
        <color theme="1"/>
        <rFont val="Montserrat Medium"/>
        <family val="3"/>
      </rPr>
      <t>Renewable and Sustainable Energy Reviews</t>
    </r>
    <r>
      <rPr>
        <sz val="10"/>
        <color theme="1"/>
        <rFont val="Montserrat Medium"/>
        <family val="3"/>
      </rPr>
      <t xml:space="preserve">, </t>
    </r>
    <r>
      <rPr>
        <i/>
        <sz val="10"/>
        <color theme="1"/>
        <rFont val="Montserrat Medium"/>
        <family val="3"/>
      </rPr>
      <t>42</t>
    </r>
    <r>
      <rPr>
        <sz val="10"/>
        <color theme="1"/>
        <rFont val="Montserrat Medium"/>
        <family val="3"/>
      </rPr>
      <t>, 569–596. https://doi.org/10.1016/j.rser.2014.10.011</t>
    </r>
  </si>
  <si>
    <r>
      <t xml:space="preserve">Technical Lifetime </t>
    </r>
    <r>
      <rPr>
        <sz val="8"/>
        <color theme="1"/>
        <rFont val="Montserrat Alternates Medium"/>
        <family val="3"/>
      </rPr>
      <t>(years)</t>
    </r>
  </si>
  <si>
    <r>
      <t xml:space="preserve">Energy storage capacity for one unit </t>
    </r>
    <r>
      <rPr>
        <sz val="8"/>
        <color theme="1"/>
        <rFont val="Montserrat Alternates Medium"/>
        <family val="3"/>
      </rPr>
      <t>(MWh)</t>
    </r>
  </si>
  <si>
    <r>
      <t xml:space="preserve">Output capacity for one unit </t>
    </r>
    <r>
      <rPr>
        <sz val="8"/>
        <color theme="1"/>
        <rFont val="Montserrat Alternates Medium"/>
        <family val="3"/>
      </rPr>
      <t>(MW)</t>
    </r>
  </si>
  <si>
    <r>
      <t xml:space="preserve">Input capacity for one unit </t>
    </r>
    <r>
      <rPr>
        <sz val="8"/>
        <color theme="1"/>
        <rFont val="Montserrat Alternates Medium"/>
        <family val="3"/>
      </rPr>
      <t>(MW)</t>
    </r>
  </si>
  <si>
    <r>
      <t xml:space="preserve">Round trip efficiency </t>
    </r>
    <r>
      <rPr>
        <sz val="8"/>
        <color theme="1"/>
        <rFont val="Montserrat Alternates Medium"/>
        <family val="3"/>
      </rPr>
      <t>(%)</t>
    </r>
  </si>
  <si>
    <r>
      <t xml:space="preserve"> - </t>
    </r>
    <r>
      <rPr>
        <i/>
        <sz val="8"/>
        <color theme="1"/>
        <rFont val="Montserrat Alternates Medium"/>
        <family val="3"/>
      </rPr>
      <t>Charge efficiency (%)</t>
    </r>
  </si>
  <si>
    <r>
      <t xml:space="preserve"> - Discharge efficiency </t>
    </r>
    <r>
      <rPr>
        <sz val="8"/>
        <color theme="1"/>
        <rFont val="Montserrat Alternates Medium"/>
        <family val="3"/>
      </rPr>
      <t>(%)</t>
    </r>
  </si>
  <si>
    <r>
      <t xml:space="preserve">Energy losses during storage </t>
    </r>
    <r>
      <rPr>
        <sz val="8"/>
        <color theme="1"/>
        <rFont val="Montserrat Alternates Medium"/>
        <family val="3"/>
      </rPr>
      <t>(%/day)</t>
    </r>
  </si>
  <si>
    <r>
      <t xml:space="preserve">Forced outage </t>
    </r>
    <r>
      <rPr>
        <sz val="8"/>
        <color theme="1"/>
        <rFont val="Montserrat Alternates Medium"/>
        <family val="3"/>
      </rPr>
      <t>(%)</t>
    </r>
  </si>
  <si>
    <r>
      <t xml:space="preserve">Planned outage </t>
    </r>
    <r>
      <rPr>
        <sz val="8"/>
        <color theme="1"/>
        <rFont val="Montserrat Alternates Medium"/>
        <family val="3"/>
      </rPr>
      <t>(weeks per year)</t>
    </r>
  </si>
  <si>
    <r>
      <t xml:space="preserve">Construction time </t>
    </r>
    <r>
      <rPr>
        <sz val="8"/>
        <color theme="1"/>
        <rFont val="Montserrat Alternates Medium"/>
        <family val="3"/>
      </rPr>
      <t>(years)</t>
    </r>
  </si>
  <si>
    <r>
      <t xml:space="preserve">Response time from idle to full-rated discharge </t>
    </r>
    <r>
      <rPr>
        <sz val="8"/>
        <color theme="1"/>
        <rFont val="Montserrat Alternates Medium"/>
        <family val="3"/>
      </rPr>
      <t>(sec)</t>
    </r>
  </si>
  <si>
    <r>
      <t xml:space="preserve">Response time from full-rated charge to full-rated  discharge </t>
    </r>
    <r>
      <rPr>
        <sz val="8"/>
        <color theme="1"/>
        <rFont val="Montserrat Alternates Medium"/>
        <family val="3"/>
      </rPr>
      <t>(sec)</t>
    </r>
  </si>
  <si>
    <r>
      <t xml:space="preserve">Specific investment </t>
    </r>
    <r>
      <rPr>
        <sz val="8"/>
        <color theme="1"/>
        <rFont val="Montserrat Alternates Medium"/>
        <family val="3"/>
      </rPr>
      <t>(MUSD2020 per MWh)</t>
    </r>
  </si>
  <si>
    <r>
      <t xml:space="preserve">  -Energy component </t>
    </r>
    <r>
      <rPr>
        <sz val="8"/>
        <color theme="1"/>
        <rFont val="Montserrat Alternates Medium"/>
        <family val="3"/>
      </rPr>
      <t>(MUSD2020/MWh)</t>
    </r>
  </si>
  <si>
    <r>
      <t xml:space="preserve">  -Capacity component </t>
    </r>
    <r>
      <rPr>
        <sz val="8"/>
        <color theme="1"/>
        <rFont val="Montserrat Alternates Medium"/>
        <family val="3"/>
      </rPr>
      <t>(MUSD2020/MW)</t>
    </r>
  </si>
  <si>
    <r>
      <t xml:space="preserve">Fixed O&amp;M </t>
    </r>
    <r>
      <rPr>
        <sz val="8"/>
        <color theme="1"/>
        <rFont val="Montserrat Alternates Medium"/>
        <family val="3"/>
      </rPr>
      <t>(MUSD2020/MW/year)</t>
    </r>
  </si>
  <si>
    <r>
      <t xml:space="preserve">Variable O&amp;M </t>
    </r>
    <r>
      <rPr>
        <sz val="8"/>
        <color theme="1"/>
        <rFont val="Montserrat Alternates Medium"/>
        <family val="3"/>
      </rPr>
      <t>(USD2020/MWh/year)</t>
    </r>
  </si>
  <si>
    <r>
      <t xml:space="preserve">Alternative investment cost </t>
    </r>
    <r>
      <rPr>
        <sz val="8"/>
        <color theme="1"/>
        <rFont val="Montserrat Alternates Medium"/>
        <family val="3"/>
      </rPr>
      <t>(MUSD2020 per MW)</t>
    </r>
  </si>
  <si>
    <r>
      <t xml:space="preserve">Specific power </t>
    </r>
    <r>
      <rPr>
        <sz val="8"/>
        <color theme="1"/>
        <rFont val="Montserrat Alternates Medium"/>
        <family val="3"/>
      </rPr>
      <t>(W/kg)</t>
    </r>
  </si>
  <si>
    <r>
      <t xml:space="preserve">Power density </t>
    </r>
    <r>
      <rPr>
        <sz val="8"/>
        <color theme="1"/>
        <rFont val="Montserrat Alternates Medium"/>
        <family val="3"/>
      </rPr>
      <t>(kW/m3)</t>
    </r>
  </si>
  <si>
    <r>
      <t xml:space="preserve">Zakeri, B., &amp; Syri, S. (2015). Electrical energy storage systems: A comparative life cycle cost analysis. </t>
    </r>
    <r>
      <rPr>
        <i/>
        <sz val="10"/>
        <color theme="1"/>
        <rFont val="Montserrat Alternates Medium"/>
        <family val="3"/>
      </rPr>
      <t>Renewable and Sustainable Energy Reviews</t>
    </r>
    <r>
      <rPr>
        <sz val="10"/>
        <color theme="1"/>
        <rFont val="Montserrat Alternates Medium"/>
        <family val="3"/>
      </rPr>
      <t xml:space="preserve">, </t>
    </r>
    <r>
      <rPr>
        <i/>
        <sz val="10"/>
        <color theme="1"/>
        <rFont val="Montserrat Alternates Medium"/>
        <family val="3"/>
      </rPr>
      <t>42</t>
    </r>
    <r>
      <rPr>
        <sz val="10"/>
        <color theme="1"/>
        <rFont val="Montserrat Alternates Medium"/>
        <family val="3"/>
      </rPr>
      <t>, 569–596. https://doi.org/10.1016/j.rser.2014.10.011</t>
    </r>
  </si>
  <si>
    <r>
      <t xml:space="preserve">Projection in according with the exchange ratio </t>
    </r>
    <r>
      <rPr>
        <sz val="11"/>
        <color theme="1"/>
        <rFont val="Montserrat Medium"/>
        <family val="3"/>
      </rPr>
      <t>(2020-2030 and 2030-2050)</t>
    </r>
  </si>
  <si>
    <r>
      <t xml:space="preserve">Energy Storage Capacity for One Unit </t>
    </r>
    <r>
      <rPr>
        <sz val="8"/>
        <color theme="1"/>
        <rFont val="Montserrat Medium"/>
        <family val="3"/>
      </rPr>
      <t>(MWh)</t>
    </r>
  </si>
  <si>
    <r>
      <t xml:space="preserve">Output Capacity for One Unit </t>
    </r>
    <r>
      <rPr>
        <sz val="8"/>
        <color theme="1"/>
        <rFont val="Montserrat Medium"/>
        <family val="3"/>
      </rPr>
      <t>(MW)</t>
    </r>
  </si>
  <si>
    <r>
      <t>Input Capacity for One Unit</t>
    </r>
    <r>
      <rPr>
        <sz val="8"/>
        <color theme="1"/>
        <rFont val="Montserrat Medium"/>
        <family val="3"/>
      </rPr>
      <t xml:space="preserve"> (MW)</t>
    </r>
  </si>
  <si>
    <r>
      <t xml:space="preserve">Round Trip Efficiency </t>
    </r>
    <r>
      <rPr>
        <sz val="8"/>
        <color theme="1"/>
        <rFont val="Montserrat Medium"/>
        <family val="3"/>
      </rPr>
      <t>(%)</t>
    </r>
  </si>
  <si>
    <r>
      <t xml:space="preserve">Charge Efficiency </t>
    </r>
    <r>
      <rPr>
        <sz val="8"/>
        <color theme="1"/>
        <rFont val="Montserrat Medium"/>
        <family val="3"/>
      </rPr>
      <t>(%)</t>
    </r>
  </si>
  <si>
    <r>
      <t xml:space="preserve">Discharge Efficiency </t>
    </r>
    <r>
      <rPr>
        <sz val="8"/>
        <color theme="1"/>
        <rFont val="Montserrat Medium"/>
        <family val="3"/>
      </rPr>
      <t>(%)</t>
    </r>
  </si>
  <si>
    <r>
      <t xml:space="preserve">Energy Losses during Storage </t>
    </r>
    <r>
      <rPr>
        <sz val="8"/>
        <color theme="1"/>
        <rFont val="Montserrat Medium"/>
        <family val="3"/>
      </rPr>
      <t>(%/day)</t>
    </r>
  </si>
  <si>
    <r>
      <t xml:space="preserve">Forced Outage </t>
    </r>
    <r>
      <rPr>
        <sz val="8"/>
        <color theme="1"/>
        <rFont val="Montserrat Medium"/>
        <family val="3"/>
      </rPr>
      <t>(%)</t>
    </r>
  </si>
  <si>
    <r>
      <t xml:space="preserve">Planned Outage </t>
    </r>
    <r>
      <rPr>
        <sz val="8"/>
        <color theme="1"/>
        <rFont val="Montserrat Medium"/>
        <family val="3"/>
      </rPr>
      <t>(weeks per year)</t>
    </r>
  </si>
  <si>
    <r>
      <t xml:space="preserve">Technical Lifetime </t>
    </r>
    <r>
      <rPr>
        <sz val="8"/>
        <color theme="1"/>
        <rFont val="Montserrat Medium"/>
        <family val="3"/>
      </rPr>
      <t>(years)</t>
    </r>
  </si>
  <si>
    <r>
      <t xml:space="preserve">Construction Time </t>
    </r>
    <r>
      <rPr>
        <sz val="8"/>
        <color theme="1"/>
        <rFont val="Montserrat Medium"/>
        <family val="3"/>
      </rPr>
      <t>(years)</t>
    </r>
  </si>
  <si>
    <r>
      <t xml:space="preserve">Response Time from Idle to Full-Rated Discharge </t>
    </r>
    <r>
      <rPr>
        <sz val="8"/>
        <color theme="1"/>
        <rFont val="Montserrat Medium"/>
        <family val="3"/>
      </rPr>
      <t>(sec)</t>
    </r>
  </si>
  <si>
    <r>
      <t xml:space="preserve">Response Time from Full-Rated Charge to Full-Rated Discharge </t>
    </r>
    <r>
      <rPr>
        <sz val="8"/>
        <color theme="1"/>
        <rFont val="Montserrat Medium"/>
        <family val="3"/>
      </rPr>
      <t>(sec)</t>
    </r>
  </si>
  <si>
    <r>
      <t xml:space="preserve">Specific Investment </t>
    </r>
    <r>
      <rPr>
        <sz val="8"/>
        <color theme="1"/>
        <rFont val="Montserrat Medium"/>
        <family val="3"/>
      </rPr>
      <t>(MUSD2015 per MWh)</t>
    </r>
  </si>
  <si>
    <r>
      <t xml:space="preserve">Energy Component </t>
    </r>
    <r>
      <rPr>
        <sz val="8"/>
        <color theme="1"/>
        <rFont val="Montserrat Medium"/>
        <family val="3"/>
      </rPr>
      <t>(MUSD2015 per MWh)</t>
    </r>
  </si>
  <si>
    <r>
      <t xml:space="preserve">Capacity Component </t>
    </r>
    <r>
      <rPr>
        <sz val="8"/>
        <color theme="1"/>
        <rFont val="Montserrat Medium"/>
        <family val="3"/>
      </rPr>
      <t>(MUSD per MW)</t>
    </r>
  </si>
  <si>
    <r>
      <t xml:space="preserve">Fixed O&amp;M </t>
    </r>
    <r>
      <rPr>
        <sz val="8"/>
        <color theme="1"/>
        <rFont val="Montserrat Medium"/>
        <family val="3"/>
      </rPr>
      <t>(MUSD2020/MW/year)</t>
    </r>
  </si>
  <si>
    <r>
      <t xml:space="preserve">Variable O&amp;M </t>
    </r>
    <r>
      <rPr>
        <sz val="8"/>
        <color theme="1"/>
        <rFont val="Montserrat Medium"/>
        <family val="3"/>
      </rPr>
      <t>(MUSD2020/MW/year)</t>
    </r>
  </si>
  <si>
    <r>
      <t xml:space="preserve">Alternative Investment Cost </t>
    </r>
    <r>
      <rPr>
        <sz val="10"/>
        <color theme="1"/>
        <rFont val="Montserrat Medium"/>
        <family val="3"/>
      </rPr>
      <t>(MUSD2020 per MW)</t>
    </r>
  </si>
  <si>
    <r>
      <t>Specific Power</t>
    </r>
    <r>
      <rPr>
        <sz val="10"/>
        <color theme="1"/>
        <rFont val="Montserrat Medium"/>
        <family val="3"/>
      </rPr>
      <t xml:space="preserve"> (W/kg)</t>
    </r>
  </si>
  <si>
    <r>
      <t>Power Density</t>
    </r>
    <r>
      <rPr>
        <sz val="10"/>
        <color theme="1"/>
        <rFont val="Montserrat Medium"/>
        <family val="3"/>
      </rPr>
      <t xml:space="preserve"> (kW/m3)</t>
    </r>
  </si>
  <si>
    <r>
      <t xml:space="preserve">1. The trend of the data for these parameters </t>
    </r>
    <r>
      <rPr>
        <b/>
        <sz val="8"/>
        <color theme="1"/>
        <rFont val="Montserrat Medium"/>
        <family val="3"/>
      </rPr>
      <t xml:space="preserve">(in this case constant) </t>
    </r>
    <r>
      <rPr>
        <sz val="8"/>
        <color theme="1"/>
        <rFont val="Montserrat Medium"/>
        <family val="3"/>
      </rPr>
      <t>was identified in reference [9] for batteries. 
2. It is considered these parameters will not have a variation in the period 2020-2050 due it technological maturity.</t>
    </r>
  </si>
  <si>
    <r>
      <t>1. The trend of the data for these parameters</t>
    </r>
    <r>
      <rPr>
        <b/>
        <sz val="8"/>
        <color theme="1"/>
        <rFont val="Montserrat Medium"/>
        <family val="3"/>
      </rPr>
      <t xml:space="preserve"> (in this case constant) </t>
    </r>
    <r>
      <rPr>
        <sz val="8"/>
        <color theme="1"/>
        <rFont val="Montserrat Medium"/>
        <family val="3"/>
      </rPr>
      <t>was identified in reference [9] for batteries. 
2. It is considered these parameters will not have a variation in the period 2020-2050 due it technological maturity.</t>
    </r>
  </si>
  <si>
    <t>1. The trend of the data for these parameters (in this case constant) was identified in reference [3] for batteries. 
2. It is considered these parameters will not have a variation in the period 2020-2050 due it technological maturity.</t>
  </si>
  <si>
    <t>1. The uncertainty for these parameters has the same behaviour  to [1] because the design is based on the same operational capacities of the energy storage system. 
2. This data is interpreted within the IRENA tool as "Usable Storage Capacity" and "Installed Storage Power". 
3. The uncertainty is zero percentage because the lead acid is a technology maturity.</t>
  </si>
  <si>
    <t>1. The uncertainty for this parameter has the same behaviour to [1] because the design is based on the same operational capacities of the energy storage system. 
2. This data is interpreted within the IRENA tool as "Round-trip efficiency".</t>
  </si>
  <si>
    <t>1. The uncertainty for this parameter has the same behaviour to [1] because the design is based on the same operational capacities of the energy storage system. 
2. This data is interpreted within the IRENA tool as "Self-discharge".</t>
  </si>
  <si>
    <t xml:space="preserve">1. The uncertainty for these parameters has the same behaviour to [1] because the design is based on the same operational capacities of the energy storage system. 
2. This data is interpreted within the IRENA tool as "Energy Installation Cost" </t>
  </si>
  <si>
    <t>1. The uncertainty for these parameters has the same behaviour  to [1] because the design is based on the same operational capacities of the energy storage system.
2. This data is interpreted within the IRENA tool as "Cycle life".</t>
  </si>
  <si>
    <t xml:space="preserve"> 1. The data of years 2015, 2020, 2030, and 2050 was obtained from [3]</t>
  </si>
  <si>
    <t>1. This technical data was calculated with equation round trip efficiency (see LA sheet). 2. In the chapter of Introduccion of the Catalogue, it is defined the equation of Round Trip Efficiency.</t>
  </si>
  <si>
    <t>1. There no available data. 2. It is assumed that no forced outage is necessary due to the maturity level of the technology</t>
  </si>
  <si>
    <t>1. There no available data. 2. Flooded lead-acid batteries require refilling, for which the outage however could be reduced over time due to automation. The bigger valve-regulated lead-acid batteries do not require refilling. Values are assumed based on comparison with Li-Ion battery sheet</t>
  </si>
  <si>
    <t>1. The data for 2020 in the sheet called "LA" is the average of several authors (as shown [1], [3], [4], [7]). 
2. It is considered these parameters will not have a variation in the period 2020-2050 due it technological maturity.</t>
  </si>
  <si>
    <r>
      <t>1. The trend of the data for these parameters (in this case exponential decrease) was identified in reference [1] for batteries. 
2. The data of years 2016, 2020, 2025, and 2030 was obtained from [1].
3. The projection was estimated trough an exponential projection. See bottom flap called</t>
    </r>
    <r>
      <rPr>
        <b/>
        <sz val="8"/>
        <color theme="1"/>
        <rFont val="Montserrat Medium"/>
        <family val="3"/>
      </rPr>
      <t xml:space="preserve"> 17_EC.</t>
    </r>
  </si>
  <si>
    <t>1. The data of years 2016, 2020, 2025, and 2030 showed in this sheets from [1]. 2. The [1] values not including grid conenction are consequently very low. 3. The selected data for 2020 is a point data types from [3]. 4. The projections have a similar numerical behaviour to [1] with the value from [3]</t>
  </si>
  <si>
    <t>1. This parameter data was calculated with an equation for Specific Investment (see LA sheet). 2. In the chapter of Introduccion of the Catalogue, it is defined the equation of Specific Investment.</t>
  </si>
  <si>
    <r>
      <t xml:space="preserve">1. The trend of the data for these parameters </t>
    </r>
    <r>
      <rPr>
        <b/>
        <sz val="8"/>
        <color theme="1"/>
        <rFont val="Montserrat Medium"/>
        <family val="3"/>
      </rPr>
      <t>(in this case exponential increase)</t>
    </r>
    <r>
      <rPr>
        <sz val="8"/>
        <color theme="1"/>
        <rFont val="Montserrat Medium"/>
        <family val="3"/>
      </rPr>
      <t xml:space="preserve"> was identified in reference [1] for batteries. 
2. The data of years 2016, 2020, 2025, and 2030 was obtained from [1]
3. The projection was estimated trough an exponential projection. See bottom flap called 22_LTN.</t>
    </r>
  </si>
  <si>
    <t>[8], [9]</t>
  </si>
  <si>
    <t>EASE/EERA. (2013). European Energy Storage Technology Development Roadmap Toward 2030. Retrieved from https://www.eera-set.eu/wp-content/uploads/148885-EASE-recommendations-Roadmap-04.pdf</t>
  </si>
  <si>
    <r>
      <t xml:space="preserve">Specific Energy </t>
    </r>
    <r>
      <rPr>
        <sz val="8"/>
        <color theme="1"/>
        <rFont val="Montserrat Alternates Medium"/>
      </rPr>
      <t>(Wh/kg)</t>
    </r>
  </si>
  <si>
    <r>
      <t xml:space="preserve">Energy Density </t>
    </r>
    <r>
      <rPr>
        <sz val="8"/>
        <color theme="1"/>
        <rFont val="Montserrat Alternates Medium"/>
      </rPr>
      <t>(kWh/m3)</t>
    </r>
  </si>
  <si>
    <t>1. The uncertainty is calculated with the similar numerical behaviour from [9]</t>
  </si>
  <si>
    <r>
      <t xml:space="preserve">Specific Energy </t>
    </r>
    <r>
      <rPr>
        <sz val="8"/>
        <color theme="1"/>
        <rFont val="Montserrat Medium"/>
      </rPr>
      <t>(Wh/kg)</t>
    </r>
  </si>
  <si>
    <r>
      <t xml:space="preserve">Energy Density </t>
    </r>
    <r>
      <rPr>
        <sz val="8"/>
        <color theme="1"/>
        <rFont val="Montserrat Medium"/>
      </rPr>
      <t>(kWh/m3)</t>
    </r>
  </si>
  <si>
    <t>1. This data was calculated with an Alternative Investment Cost equation (see LA sheet). 2. In the chapter of Introduccion of the Catalogue, it is defined the equation of Alternative Investment Cost.</t>
  </si>
  <si>
    <t>1. This technical data was calculated with a Specific Power equation (see LA sheet). 2. In the chapter of Introduccion of the Catalogue, it is defined the equation of Specific Power.</t>
  </si>
  <si>
    <t>1. This technical data was calculated with a Power Density equation (see LA sheet). 2. In the chapter of Introduccion of the Catalogue, it is defined the equation of Power Density.</t>
  </si>
  <si>
    <t>1. The data of years 2020 and 2030 was obtained from [9].
2. The projection was estimated trough an exponential projection. See bottom flap called 25_SE. 3. The selected data for 2020 is a point data types from [8]. 4. The projections have a similar numerical behaviour to [9] with the value from [8]</t>
  </si>
  <si>
    <t>1. The data of years 2020 and 2030 was obtained from [9].
2. The projection was estimated trough an linear projection. See bottom flap called 26_ED. 3. The selected data for 2020 is a point data types from [8]. 4. The projections have a similar numerical behaviour to [9] with the value from [8]</t>
  </si>
  <si>
    <r>
      <t xml:space="preserve">1. The uncertainty is the same as [3], see </t>
    </r>
    <r>
      <rPr>
        <b/>
        <sz val="10"/>
        <color theme="1"/>
        <rFont val="Montserrat Alternates Medium"/>
        <family val="3"/>
      </rPr>
      <t>Table S4</t>
    </r>
    <r>
      <rPr>
        <sz val="10"/>
        <color theme="1"/>
        <rFont val="Montserrat Alternates Medium"/>
        <family val="3"/>
      </rPr>
      <t xml:space="preserve"> on Supplemental Information in this reference</t>
    </r>
  </si>
  <si>
    <t>1. The uncertainty is not available for this parameters, therefore it was repeated the data of 2020 and 2030. 2. It is considered these parameters will not have a variation in the period 2020-2050 due it technological maturity.</t>
  </si>
  <si>
    <t>1. The uncertainty is the same as [3], see Table S4 on Supplemental Information in this reference</t>
  </si>
  <si>
    <r>
      <t xml:space="preserve">1. The data for these parameters was identified in reference [5] for batteries, </t>
    </r>
    <r>
      <rPr>
        <b/>
        <sz val="9"/>
        <color theme="1"/>
        <rFont val="Montserrat Medium"/>
      </rPr>
      <t xml:space="preserve">see Table A4. </t>
    </r>
    <r>
      <rPr>
        <sz val="9"/>
        <color theme="1"/>
        <rFont val="Montserrat Medium"/>
      </rPr>
      <t>This value is in European currency. The currency conversion to USD currency is in a factor of 1.11.
2. There no available data to estimate trend. Consequently, the data for the year 2020 is repeated for 2030 and 2050.</t>
    </r>
  </si>
  <si>
    <t>1. The uncertainty is the same as [5], to keep the consistency between data (see Table A4 in this reference)</t>
  </si>
  <si>
    <t>Cálculo de peso, volumen y energía para Specific Energy and Energy Density</t>
  </si>
  <si>
    <r>
      <t xml:space="preserve"> - </t>
    </r>
    <r>
      <rPr>
        <i/>
        <sz val="9"/>
        <color theme="1"/>
        <rFont val="Montserrat Medium"/>
        <family val="3"/>
      </rPr>
      <t>Charge efficiency (%)</t>
    </r>
  </si>
  <si>
    <t>Lead Acid battery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</si>
</sst>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000"/>
    <numFmt numFmtId="166" formatCode="_ * #,##0.00_ ;_ * \-#,##0.00_ ;_ * &quot;-&quot;??_ ;_ @_ "/>
    <numFmt numFmtId="167" formatCode="0.0000"/>
  </numFmts>
  <fonts count="44">
    <font>
      <sz val="11"/>
      <color theme="1"/>
      <name val="Calibri"/>
      <family val="2"/>
      <scheme val="minor"/>
    </font>
    <font>
      <sz val="11"/>
      <color theme="1"/>
      <name val="Calibri"/>
      <family val="2"/>
      <scheme val="minor"/>
    </font>
    <font>
      <u/>
      <sz val="10"/>
      <color indexed="12"/>
      <name val="Arial"/>
      <family val="2"/>
    </font>
    <font>
      <sz val="10"/>
      <name val="Helv"/>
    </font>
    <font>
      <u/>
      <sz val="11"/>
      <color theme="10"/>
      <name val="Calibri"/>
      <family val="2"/>
      <scheme val="minor"/>
    </font>
    <font>
      <sz val="11"/>
      <color indexed="62"/>
      <name val="Calibri"/>
      <family val="2"/>
    </font>
    <font>
      <sz val="11"/>
      <color indexed="60"/>
      <name val="Calibri"/>
      <family val="2"/>
    </font>
    <font>
      <sz val="10"/>
      <name val="Arial"/>
      <family val="2"/>
    </font>
    <font>
      <b/>
      <sz val="11"/>
      <color indexed="63"/>
      <name val="Calibri"/>
      <family val="2"/>
    </font>
    <font>
      <b/>
      <sz val="11"/>
      <color indexed="8"/>
      <name val="Calibri"/>
      <family val="2"/>
    </font>
    <font>
      <sz val="9"/>
      <color indexed="81"/>
      <name val="Tahoma"/>
      <family val="2"/>
    </font>
    <font>
      <b/>
      <sz val="9"/>
      <color indexed="81"/>
      <name val="Tahoma"/>
      <family val="2"/>
    </font>
    <font>
      <sz val="11"/>
      <color theme="1"/>
      <name val="Montserrat Medium"/>
      <family val="3"/>
    </font>
    <font>
      <b/>
      <sz val="8"/>
      <color theme="1"/>
      <name val="Montserrat Medium"/>
      <family val="3"/>
    </font>
    <font>
      <b/>
      <sz val="7"/>
      <color theme="1"/>
      <name val="Montserrat Medium"/>
      <family val="3"/>
    </font>
    <font>
      <sz val="8"/>
      <color theme="1"/>
      <name val="Montserrat Medium"/>
      <family val="3"/>
    </font>
    <font>
      <sz val="9"/>
      <color theme="1"/>
      <name val="Montserrat Medium"/>
      <family val="3"/>
    </font>
    <font>
      <sz val="7"/>
      <color theme="1"/>
      <name val="Montserrat Medium"/>
      <family val="3"/>
    </font>
    <font>
      <u/>
      <sz val="10"/>
      <color indexed="12"/>
      <name val="Montserrat Medium"/>
      <family val="3"/>
    </font>
    <font>
      <b/>
      <sz val="14"/>
      <color rgb="FF00707D"/>
      <name val="Montserrat Medium"/>
      <family val="3"/>
    </font>
    <font>
      <b/>
      <sz val="10"/>
      <name val="Montserrat Medium"/>
      <family val="3"/>
    </font>
    <font>
      <sz val="10"/>
      <color theme="1"/>
      <name val="Montserrat Medium"/>
      <family val="3"/>
    </font>
    <font>
      <sz val="10"/>
      <color rgb="FF000000"/>
      <name val="Montserrat Medium"/>
      <family val="3"/>
    </font>
    <font>
      <i/>
      <sz val="10"/>
      <color theme="1"/>
      <name val="Montserrat Medium"/>
      <family val="3"/>
    </font>
    <font>
      <sz val="11"/>
      <color theme="1"/>
      <name val="Montserrat Alternates Medium"/>
      <family val="3"/>
    </font>
    <font>
      <b/>
      <sz val="11"/>
      <color theme="1"/>
      <name val="Montserrat Alternates Medium"/>
      <family val="3"/>
    </font>
    <font>
      <b/>
      <sz val="8"/>
      <color theme="1"/>
      <name val="Montserrat Alternates Medium"/>
      <family val="3"/>
    </font>
    <font>
      <sz val="8"/>
      <color theme="1"/>
      <name val="Montserrat Alternates Medium"/>
      <family val="3"/>
    </font>
    <font>
      <i/>
      <sz val="8"/>
      <color theme="1"/>
      <name val="Montserrat Alternates Medium"/>
      <family val="3"/>
    </font>
    <font>
      <u/>
      <sz val="10"/>
      <color indexed="12"/>
      <name val="Montserrat Alternates Medium"/>
      <family val="3"/>
    </font>
    <font>
      <sz val="10"/>
      <color theme="1"/>
      <name val="Montserrat Alternates Medium"/>
      <family val="3"/>
    </font>
    <font>
      <sz val="10"/>
      <color rgb="FF000000"/>
      <name val="Montserrat Alternates Medium"/>
      <family val="3"/>
    </font>
    <font>
      <i/>
      <sz val="10"/>
      <color theme="1"/>
      <name val="Montserrat Alternates Medium"/>
      <family val="3"/>
    </font>
    <font>
      <b/>
      <sz val="11"/>
      <color theme="1"/>
      <name val="Montserrat Medium"/>
      <family val="3"/>
    </font>
    <font>
      <b/>
      <sz val="10"/>
      <color theme="1"/>
      <name val="Montserrat Alternates Medium"/>
      <family val="3"/>
    </font>
    <font>
      <sz val="8"/>
      <color theme="1"/>
      <name val="Montserrat Medium"/>
    </font>
    <font>
      <sz val="8"/>
      <color theme="1"/>
      <name val="Montserrat Alternates Medium"/>
    </font>
    <font>
      <sz val="9"/>
      <color theme="1"/>
      <name val="Montserrat Medium"/>
    </font>
    <font>
      <b/>
      <sz val="9"/>
      <color theme="1"/>
      <name val="Montserrat Medium"/>
    </font>
    <font>
      <b/>
      <sz val="11"/>
      <color theme="1"/>
      <name val="Montserrat Medium"/>
    </font>
    <font>
      <b/>
      <sz val="9"/>
      <color theme="1"/>
      <name val="Montserrat Medium"/>
      <family val="3"/>
    </font>
    <font>
      <sz val="9"/>
      <color rgb="FF000000"/>
      <name val="Montserrat Medium"/>
      <family val="3"/>
    </font>
    <font>
      <sz val="9"/>
      <name val="Montserrat Medium"/>
      <family val="3"/>
    </font>
    <font>
      <i/>
      <sz val="9"/>
      <color theme="1"/>
      <name val="Montserrat Medium"/>
      <family val="3"/>
    </font>
  </fonts>
  <fills count="5">
    <fill>
      <patternFill patternType="none"/>
    </fill>
    <fill>
      <patternFill patternType="gray125"/>
    </fill>
    <fill>
      <patternFill patternType="solid">
        <fgColor indexed="47"/>
      </patternFill>
    </fill>
    <fill>
      <patternFill patternType="solid">
        <fgColor indexed="43"/>
      </patternFill>
    </fill>
    <fill>
      <patternFill patternType="solid">
        <fgColor indexed="22"/>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s>
  <cellStyleXfs count="25">
    <xf numFmtId="0" fontId="0" fillId="0" borderId="0"/>
    <xf numFmtId="0" fontId="1" fillId="0" borderId="0" applyFill="0" applyBorder="0" applyProtection="0"/>
    <xf numFmtId="0" fontId="2" fillId="0" borderId="0" applyNumberFormat="0" applyFill="0" applyBorder="0" applyAlignment="0" applyProtection="0">
      <alignment vertical="top"/>
      <protection locked="0"/>
    </xf>
    <xf numFmtId="43" fontId="1" fillId="0" borderId="0" applyFont="0" applyFill="0" applyBorder="0" applyAlignment="0" applyProtection="0"/>
    <xf numFmtId="166" fontId="1" fillId="0" borderId="0" applyFont="0" applyFill="0" applyBorder="0" applyAlignment="0" applyProtection="0"/>
    <xf numFmtId="0" fontId="3" fillId="0" borderId="0"/>
    <xf numFmtId="0" fontId="3" fillId="0" borderId="0"/>
    <xf numFmtId="0" fontId="2" fillId="0" borderId="0" applyNumberFormat="0" applyFill="0" applyBorder="0" applyAlignment="0" applyProtection="0">
      <alignment vertical="top"/>
      <protection locked="0"/>
    </xf>
    <xf numFmtId="0" fontId="4" fillId="0" borderId="0" applyNumberFormat="0" applyFill="0" applyBorder="0" applyAlignment="0" applyProtection="0"/>
    <xf numFmtId="0" fontId="5" fillId="2" borderId="5" applyNumberFormat="0" applyAlignment="0" applyProtection="0"/>
    <xf numFmtId="43" fontId="1" fillId="0" borderId="0" applyFont="0" applyFill="0" applyBorder="0" applyAlignment="0" applyProtection="0"/>
    <xf numFmtId="166" fontId="3" fillId="0" borderId="0" applyFont="0" applyFill="0" applyBorder="0" applyAlignment="0" applyProtection="0"/>
    <xf numFmtId="0" fontId="4" fillId="0" borderId="0" applyNumberFormat="0" applyFill="0" applyBorder="0" applyAlignment="0" applyProtection="0"/>
    <xf numFmtId="0" fontId="6" fillId="3" borderId="0" applyNumberFormat="0" applyBorder="0" applyAlignment="0" applyProtection="0"/>
    <xf numFmtId="0" fontId="7" fillId="0" borderId="0"/>
    <xf numFmtId="0" fontId="1" fillId="0" borderId="0"/>
    <xf numFmtId="0" fontId="7" fillId="0" borderId="0"/>
    <xf numFmtId="0" fontId="7" fillId="0" borderId="0"/>
    <xf numFmtId="0" fontId="8" fillId="4" borderId="6" applyNumberFormat="0" applyAlignment="0" applyProtection="0"/>
    <xf numFmtId="0" fontId="3"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9" fillId="0" borderId="7" applyNumberFormat="0" applyFill="0" applyAlignment="0" applyProtection="0"/>
    <xf numFmtId="9" fontId="1" fillId="0" borderId="0" applyFont="0" applyFill="0" applyBorder="0" applyAlignment="0" applyProtection="0"/>
  </cellStyleXfs>
  <cellXfs count="148">
    <xf numFmtId="0" fontId="0" fillId="0" borderId="0" xfId="0"/>
    <xf numFmtId="0" fontId="12" fillId="0" borderId="0" xfId="1" applyFont="1"/>
    <xf numFmtId="0" fontId="12" fillId="0" borderId="0" xfId="1" applyFont="1" applyFill="1"/>
    <xf numFmtId="0" fontId="16" fillId="0" borderId="0" xfId="1" applyFont="1" applyFill="1" applyAlignment="1">
      <alignment vertical="center"/>
    </xf>
    <xf numFmtId="0" fontId="12" fillId="0" borderId="0" xfId="1" applyFont="1" applyFill="1" applyAlignment="1">
      <alignment vertical="center"/>
    </xf>
    <xf numFmtId="1" fontId="15" fillId="0" borderId="1" xfId="1" applyNumberFormat="1" applyFont="1" applyFill="1" applyBorder="1" applyAlignment="1">
      <alignment horizontal="center" vertical="center" wrapText="1"/>
    </xf>
    <xf numFmtId="0" fontId="17" fillId="0" borderId="0" xfId="1" applyFont="1" applyFill="1" applyAlignment="1">
      <alignment horizontal="center" vertical="center" wrapText="1"/>
    </xf>
    <xf numFmtId="0" fontId="17" fillId="0" borderId="0" xfId="1" applyFont="1" applyFill="1" applyAlignment="1">
      <alignment horizontal="justify" vertical="center" wrapText="1"/>
    </xf>
    <xf numFmtId="0" fontId="12" fillId="0" borderId="0" xfId="1" applyFont="1" applyAlignment="1">
      <alignment horizontal="left" vertical="center"/>
    </xf>
    <xf numFmtId="0" fontId="12" fillId="0" borderId="0" xfId="1" applyFont="1" applyFill="1" applyAlignment="1">
      <alignment horizontal="left" vertical="center"/>
    </xf>
    <xf numFmtId="0" fontId="16" fillId="0" borderId="0" xfId="1" applyFont="1" applyFill="1" applyAlignment="1">
      <alignment horizontal="justify" vertical="center" wrapText="1"/>
    </xf>
    <xf numFmtId="0" fontId="17" fillId="0" borderId="0" xfId="1" applyFont="1" applyFill="1" applyAlignment="1">
      <alignment vertical="center" wrapText="1"/>
    </xf>
    <xf numFmtId="0" fontId="17" fillId="0" borderId="0" xfId="1" applyFont="1" applyAlignment="1">
      <alignment horizontal="center" vertical="center" wrapText="1"/>
    </xf>
    <xf numFmtId="0" fontId="17" fillId="0" borderId="0" xfId="1" applyFont="1" applyAlignment="1">
      <alignment horizontal="justify" vertical="center" wrapText="1"/>
    </xf>
    <xf numFmtId="0" fontId="16" fillId="0" borderId="0" xfId="1" applyFont="1" applyAlignment="1">
      <alignment vertical="center" wrapText="1"/>
    </xf>
    <xf numFmtId="0" fontId="12" fillId="0" borderId="0" xfId="1" applyFont="1" applyAlignment="1">
      <alignment horizontal="center" vertical="center"/>
    </xf>
    <xf numFmtId="0" fontId="12" fillId="0" borderId="0" xfId="1" applyFont="1" applyAlignment="1">
      <alignment horizontal="justify" vertical="center"/>
    </xf>
    <xf numFmtId="0" fontId="19" fillId="0" borderId="0" xfId="1" applyFont="1" applyAlignment="1">
      <alignment horizontal="left" vertical="center"/>
    </xf>
    <xf numFmtId="0" fontId="18" fillId="0" borderId="0" xfId="2" applyFont="1" applyFill="1" applyAlignment="1" applyProtection="1"/>
    <xf numFmtId="0" fontId="20" fillId="0" borderId="0" xfId="1" applyFont="1" applyFill="1" applyAlignment="1">
      <alignment horizontal="right" vertical="center" wrapText="1"/>
    </xf>
    <xf numFmtId="0" fontId="21" fillId="0" borderId="0" xfId="1" applyFont="1" applyFill="1"/>
    <xf numFmtId="0" fontId="21" fillId="0" borderId="0" xfId="1" applyFont="1" applyFill="1" applyAlignment="1">
      <alignment horizontal="center" vertical="center" wrapText="1"/>
    </xf>
    <xf numFmtId="0" fontId="21" fillId="0" borderId="0" xfId="1" applyFont="1" applyFill="1" applyAlignment="1">
      <alignment horizontal="right" vertical="center" wrapText="1"/>
    </xf>
    <xf numFmtId="0" fontId="21" fillId="0" borderId="0" xfId="1" applyFont="1" applyFill="1" applyAlignment="1">
      <alignment horizontal="justify" vertical="center" wrapText="1"/>
    </xf>
    <xf numFmtId="0" fontId="21" fillId="0" borderId="0" xfId="15" applyFont="1" applyFill="1"/>
    <xf numFmtId="0" fontId="21" fillId="0" borderId="0" xfId="1" applyFont="1" applyFill="1" applyAlignment="1">
      <alignment vertical="center" wrapText="1"/>
    </xf>
    <xf numFmtId="0" fontId="20" fillId="0" borderId="0" xfId="1" applyFont="1" applyFill="1" applyAlignment="1">
      <alignment horizontal="right" vertical="center"/>
    </xf>
    <xf numFmtId="0" fontId="21" fillId="0" borderId="0" xfId="1" applyFont="1" applyFill="1" applyAlignment="1">
      <alignment horizontal="left"/>
    </xf>
    <xf numFmtId="0" fontId="21" fillId="0" borderId="0" xfId="1" applyFont="1" applyFill="1" applyAlignment="1">
      <alignment horizontal="left" vertical="center"/>
    </xf>
    <xf numFmtId="0" fontId="22" fillId="0" borderId="0" xfId="0" applyFont="1" applyFill="1" applyBorder="1" applyAlignment="1">
      <alignment horizontal="right"/>
    </xf>
    <xf numFmtId="0" fontId="22" fillId="0" borderId="0" xfId="0" applyFont="1" applyFill="1" applyBorder="1" applyAlignment="1"/>
    <xf numFmtId="0" fontId="24" fillId="0" borderId="0" xfId="0" applyFont="1"/>
    <xf numFmtId="0" fontId="24" fillId="0" borderId="0" xfId="0" applyFont="1" applyAlignment="1">
      <alignment horizontal="left"/>
    </xf>
    <xf numFmtId="0" fontId="24" fillId="0" borderId="1" xfId="0" applyFont="1" applyBorder="1" applyAlignment="1">
      <alignment horizontal="left" vertical="center"/>
    </xf>
    <xf numFmtId="0" fontId="24" fillId="0" borderId="1" xfId="0" applyFont="1" applyBorder="1" applyAlignment="1">
      <alignment horizontal="center" vertical="center"/>
    </xf>
    <xf numFmtId="0" fontId="25" fillId="0" borderId="1" xfId="0" applyFont="1" applyBorder="1" applyAlignment="1">
      <alignment horizontal="left" vertical="center" wrapText="1"/>
    </xf>
    <xf numFmtId="0" fontId="25" fillId="0" borderId="1" xfId="0" applyFont="1" applyBorder="1" applyAlignment="1">
      <alignment horizontal="center" vertical="center" wrapText="1"/>
    </xf>
    <xf numFmtId="0" fontId="24" fillId="0" borderId="1" xfId="0" applyFont="1" applyBorder="1" applyAlignment="1">
      <alignment horizontal="center" vertical="center" wrapText="1"/>
    </xf>
    <xf numFmtId="0" fontId="26" fillId="0" borderId="1" xfId="0" applyFont="1" applyBorder="1" applyAlignment="1">
      <alignment horizontal="left" vertical="center" wrapText="1"/>
    </xf>
    <xf numFmtId="2" fontId="24" fillId="0" borderId="1" xfId="24" applyNumberFormat="1" applyFont="1" applyBorder="1" applyAlignment="1">
      <alignment horizontal="center" vertical="center"/>
    </xf>
    <xf numFmtId="0" fontId="24" fillId="0" borderId="1" xfId="0" applyFont="1" applyBorder="1" applyAlignment="1">
      <alignment horizontal="left"/>
    </xf>
    <xf numFmtId="0" fontId="29" fillId="0" borderId="0" xfId="2" applyFont="1" applyFill="1" applyAlignment="1" applyProtection="1"/>
    <xf numFmtId="0" fontId="31" fillId="0" borderId="0" xfId="0" applyFont="1" applyFill="1" applyBorder="1" applyAlignment="1">
      <alignment horizontal="right"/>
    </xf>
    <xf numFmtId="0" fontId="31" fillId="0" borderId="0" xfId="0" applyFont="1" applyFill="1" applyBorder="1" applyAlignment="1"/>
    <xf numFmtId="0" fontId="30" fillId="0" borderId="0" xfId="0" applyFont="1" applyFill="1"/>
    <xf numFmtId="0" fontId="30" fillId="0" borderId="0" xfId="1" applyFont="1" applyFill="1" applyAlignment="1">
      <alignment horizontal="left" vertical="center"/>
    </xf>
    <xf numFmtId="0" fontId="30" fillId="0" borderId="0" xfId="1" applyFont="1" applyFill="1"/>
    <xf numFmtId="0" fontId="21" fillId="0" borderId="0" xfId="0" applyFont="1" applyFill="1"/>
    <xf numFmtId="0" fontId="21" fillId="0" borderId="0" xfId="0" applyFont="1" applyFill="1" applyAlignment="1">
      <alignment vertical="center"/>
    </xf>
    <xf numFmtId="0" fontId="21" fillId="0" borderId="0" xfId="0" applyFont="1" applyFill="1" applyAlignment="1">
      <alignment horizontal="left" vertical="top"/>
    </xf>
    <xf numFmtId="0" fontId="12" fillId="0" borderId="0" xfId="1" applyFont="1" applyAlignment="1">
      <alignment horizontal="right" vertical="center"/>
    </xf>
    <xf numFmtId="0" fontId="26" fillId="0" borderId="0" xfId="0" applyFont="1" applyBorder="1" applyAlignment="1">
      <alignment horizontal="left" vertical="center" wrapText="1"/>
    </xf>
    <xf numFmtId="2" fontId="24" fillId="0" borderId="0" xfId="0" applyNumberFormat="1" applyFont="1" applyBorder="1" applyAlignment="1">
      <alignment horizontal="center" vertical="center"/>
    </xf>
    <xf numFmtId="2" fontId="24" fillId="0" borderId="1" xfId="0" applyNumberFormat="1" applyFont="1" applyBorder="1" applyAlignment="1">
      <alignment horizontal="center" vertical="center"/>
    </xf>
    <xf numFmtId="0" fontId="12" fillId="0" borderId="0" xfId="0" applyFont="1" applyFill="1" applyAlignment="1">
      <alignment horizontal="left"/>
    </xf>
    <xf numFmtId="0" fontId="12" fillId="0" borderId="0" xfId="0" applyFont="1" applyFill="1"/>
    <xf numFmtId="0" fontId="33" fillId="0" borderId="0" xfId="0" applyFont="1" applyFill="1" applyAlignment="1">
      <alignment horizontal="center" vertical="center" wrapText="1"/>
    </xf>
    <xf numFmtId="0" fontId="33" fillId="0" borderId="0" xfId="0" applyFont="1" applyFill="1" applyAlignment="1">
      <alignment vertical="center" wrapText="1"/>
    </xf>
    <xf numFmtId="0" fontId="33" fillId="0" borderId="0" xfId="0" applyFont="1" applyFill="1" applyAlignment="1">
      <alignment horizontal="left" vertical="center" wrapText="1"/>
    </xf>
    <xf numFmtId="0" fontId="12" fillId="0" borderId="0" xfId="0" applyFont="1" applyFill="1" applyAlignment="1">
      <alignment horizontal="center" vertical="center" wrapText="1"/>
    </xf>
    <xf numFmtId="0" fontId="33" fillId="0" borderId="0" xfId="0" applyFont="1" applyFill="1" applyAlignment="1">
      <alignment horizontal="center"/>
    </xf>
    <xf numFmtId="0" fontId="13" fillId="0" borderId="0" xfId="0" applyFont="1" applyFill="1" applyAlignment="1">
      <alignment horizontal="left" vertical="center" wrapText="1"/>
    </xf>
    <xf numFmtId="0" fontId="13" fillId="0" borderId="0" xfId="0" applyFont="1" applyFill="1" applyAlignment="1">
      <alignment horizontal="center" vertical="center" wrapText="1"/>
    </xf>
    <xf numFmtId="0" fontId="15" fillId="0" borderId="9" xfId="0" applyFont="1" applyFill="1" applyBorder="1" applyAlignment="1">
      <alignment vertical="center" wrapText="1"/>
    </xf>
    <xf numFmtId="0" fontId="15" fillId="0" borderId="0" xfId="0" applyFont="1" applyFill="1" applyAlignment="1">
      <alignment vertical="center" wrapText="1"/>
    </xf>
    <xf numFmtId="0" fontId="12" fillId="0" borderId="0" xfId="0" applyFont="1" applyFill="1" applyAlignment="1">
      <alignment horizontal="center" vertical="center"/>
    </xf>
    <xf numFmtId="0" fontId="12" fillId="0" borderId="0" xfId="0" applyNumberFormat="1" applyFont="1" applyFill="1" applyAlignment="1">
      <alignment horizontal="center" vertical="center" wrapText="1"/>
    </xf>
    <xf numFmtId="1" fontId="12" fillId="0" borderId="0" xfId="0" applyNumberFormat="1" applyFont="1" applyFill="1" applyAlignment="1">
      <alignment horizontal="center" vertical="center" wrapText="1"/>
    </xf>
    <xf numFmtId="0" fontId="15" fillId="0" borderId="0" xfId="0" applyFont="1" applyFill="1" applyAlignment="1">
      <alignment horizontal="center" vertical="center" wrapText="1"/>
    </xf>
    <xf numFmtId="2" fontId="12" fillId="0" borderId="0" xfId="0" applyNumberFormat="1" applyFont="1" applyFill="1" applyAlignment="1">
      <alignment horizontal="center" vertical="center" wrapText="1"/>
    </xf>
    <xf numFmtId="164" fontId="12" fillId="0" borderId="0" xfId="0" applyNumberFormat="1" applyFont="1" applyFill="1" applyAlignment="1">
      <alignment horizontal="center" vertical="center" wrapText="1"/>
    </xf>
    <xf numFmtId="0" fontId="15" fillId="0" borderId="0" xfId="0" applyFont="1" applyFill="1" applyAlignment="1">
      <alignment horizontal="left" vertical="top" wrapText="1"/>
    </xf>
    <xf numFmtId="0" fontId="35" fillId="0" borderId="0" xfId="0" applyFont="1" applyFill="1" applyAlignment="1">
      <alignment horizontal="center" vertical="center" wrapText="1"/>
    </xf>
    <xf numFmtId="165" fontId="12" fillId="0" borderId="0" xfId="0" applyNumberFormat="1" applyFont="1" applyFill="1" applyAlignment="1">
      <alignment horizontal="center" vertical="center" wrapText="1"/>
    </xf>
    <xf numFmtId="165" fontId="12" fillId="0" borderId="0" xfId="24" applyNumberFormat="1" applyFont="1" applyFill="1" applyAlignment="1">
      <alignment horizontal="center" vertical="center" wrapText="1"/>
    </xf>
    <xf numFmtId="165" fontId="12" fillId="0" borderId="0" xfId="0" applyNumberFormat="1" applyFont="1" applyFill="1" applyAlignment="1">
      <alignment horizontal="center" vertical="center"/>
    </xf>
    <xf numFmtId="167" fontId="12" fillId="0" borderId="0" xfId="24" applyNumberFormat="1" applyFont="1" applyFill="1" applyAlignment="1">
      <alignment horizontal="center" vertical="center" wrapText="1"/>
    </xf>
    <xf numFmtId="167" fontId="12" fillId="0" borderId="0" xfId="0" applyNumberFormat="1" applyFont="1" applyFill="1" applyAlignment="1">
      <alignment horizontal="center" vertical="center" wrapText="1"/>
    </xf>
    <xf numFmtId="1" fontId="33" fillId="0" borderId="0" xfId="0" applyNumberFormat="1" applyFont="1" applyFill="1" applyAlignment="1">
      <alignment horizontal="center" vertical="center"/>
    </xf>
    <xf numFmtId="2" fontId="12" fillId="0" borderId="0" xfId="24" applyNumberFormat="1" applyFont="1" applyFill="1" applyAlignment="1">
      <alignment horizontal="center" vertical="center" wrapText="1"/>
    </xf>
    <xf numFmtId="3" fontId="12" fillId="0" borderId="0" xfId="0" applyNumberFormat="1" applyFont="1" applyFill="1" applyAlignment="1">
      <alignment horizontal="center" vertical="center" wrapText="1"/>
    </xf>
    <xf numFmtId="3" fontId="12" fillId="0" borderId="0" xfId="0" applyNumberFormat="1" applyFont="1" applyFill="1" applyAlignment="1">
      <alignment horizontal="center" vertical="center"/>
    </xf>
    <xf numFmtId="0" fontId="33" fillId="0" borderId="0" xfId="0" applyFont="1" applyFill="1" applyAlignment="1">
      <alignment horizontal="left" vertical="center"/>
    </xf>
    <xf numFmtId="0" fontId="12" fillId="0" borderId="0" xfId="0" applyFont="1" applyFill="1" applyAlignment="1">
      <alignment horizontal="left" vertical="top"/>
    </xf>
    <xf numFmtId="2" fontId="12" fillId="0" borderId="0" xfId="0" applyNumberFormat="1" applyFont="1" applyFill="1" applyAlignment="1">
      <alignment horizontal="center" vertical="center"/>
    </xf>
    <xf numFmtId="0" fontId="12" fillId="0" borderId="0" xfId="0" applyFont="1" applyFill="1" applyAlignment="1">
      <alignment horizontal="right"/>
    </xf>
    <xf numFmtId="2" fontId="21" fillId="0" borderId="9" xfId="0" applyNumberFormat="1" applyFont="1" applyFill="1" applyBorder="1" applyAlignment="1">
      <alignment vertical="center" wrapText="1"/>
    </xf>
    <xf numFmtId="2" fontId="21" fillId="0" borderId="0" xfId="0" applyNumberFormat="1" applyFont="1" applyFill="1" applyAlignment="1">
      <alignment vertical="center" wrapText="1"/>
    </xf>
    <xf numFmtId="0" fontId="21" fillId="0" borderId="9" xfId="0" applyFont="1" applyFill="1" applyBorder="1" applyAlignment="1">
      <alignment vertical="center" wrapText="1"/>
    </xf>
    <xf numFmtId="0" fontId="21" fillId="0" borderId="0" xfId="0" applyFont="1" applyFill="1" applyAlignment="1">
      <alignment vertical="center" wrapText="1"/>
    </xf>
    <xf numFmtId="0" fontId="12" fillId="0" borderId="9" xfId="0" applyFont="1" applyFill="1" applyBorder="1" applyAlignment="1">
      <alignment vertical="center" wrapText="1"/>
    </xf>
    <xf numFmtId="0" fontId="12" fillId="0" borderId="0" xfId="0" applyFont="1" applyFill="1" applyAlignment="1">
      <alignment vertical="center" wrapText="1"/>
    </xf>
    <xf numFmtId="0" fontId="16" fillId="0" borderId="0" xfId="0" applyFont="1" applyFill="1" applyAlignment="1">
      <alignment vertical="center" wrapText="1"/>
    </xf>
    <xf numFmtId="165" fontId="33" fillId="0" borderId="0" xfId="0" applyNumberFormat="1" applyFont="1" applyFill="1" applyAlignment="1">
      <alignment vertical="center" wrapText="1"/>
    </xf>
    <xf numFmtId="2" fontId="12" fillId="0" borderId="0" xfId="0" applyNumberFormat="1" applyFont="1" applyFill="1" applyAlignment="1">
      <alignment vertical="center" wrapText="1"/>
    </xf>
    <xf numFmtId="2" fontId="15" fillId="0" borderId="0" xfId="0" applyNumberFormat="1" applyFont="1" applyFill="1" applyAlignment="1">
      <alignment vertical="center" wrapText="1"/>
    </xf>
    <xf numFmtId="0" fontId="24" fillId="0" borderId="0" xfId="0" applyFont="1" applyFill="1"/>
    <xf numFmtId="0" fontId="24" fillId="0" borderId="0" xfId="0" applyFont="1" applyFill="1" applyAlignment="1"/>
    <xf numFmtId="0" fontId="25" fillId="0" borderId="0" xfId="0" applyFont="1" applyFill="1" applyAlignment="1">
      <alignment vertical="top" wrapText="1"/>
    </xf>
    <xf numFmtId="0" fontId="24" fillId="0" borderId="0" xfId="0" applyFont="1" applyFill="1" applyAlignment="1">
      <alignment vertical="center" wrapText="1"/>
    </xf>
    <xf numFmtId="0" fontId="24" fillId="0" borderId="0" xfId="0" applyFont="1" applyFill="1" applyAlignment="1">
      <alignment vertical="center"/>
    </xf>
    <xf numFmtId="0" fontId="24" fillId="0" borderId="0" xfId="0" applyFont="1" applyFill="1" applyBorder="1" applyAlignment="1">
      <alignment vertical="center"/>
    </xf>
    <xf numFmtId="0" fontId="24" fillId="0" borderId="0" xfId="0" applyFont="1" applyFill="1" applyBorder="1" applyAlignment="1">
      <alignment vertical="center" wrapText="1"/>
    </xf>
    <xf numFmtId="0" fontId="25" fillId="0" borderId="0" xfId="0" applyFont="1" applyFill="1" applyBorder="1" applyAlignment="1">
      <alignment vertical="center" wrapText="1"/>
    </xf>
    <xf numFmtId="0" fontId="25" fillId="0" borderId="0" xfId="0" applyFont="1" applyFill="1" applyBorder="1" applyAlignment="1">
      <alignment vertical="top" wrapText="1"/>
    </xf>
    <xf numFmtId="0" fontId="25" fillId="0" borderId="0" xfId="0" applyFont="1" applyFill="1" applyBorder="1" applyAlignment="1">
      <alignment horizontal="left" vertical="top" wrapText="1"/>
    </xf>
    <xf numFmtId="0" fontId="24" fillId="0" borderId="0" xfId="0" applyFont="1" applyFill="1" applyBorder="1"/>
    <xf numFmtId="0" fontId="40" fillId="0" borderId="1" xfId="1" applyFont="1" applyFill="1" applyBorder="1" applyAlignment="1">
      <alignment horizontal="left" vertical="center" wrapText="1"/>
    </xf>
    <xf numFmtId="0" fontId="16" fillId="0" borderId="1" xfId="1" applyFont="1" applyFill="1" applyBorder="1" applyAlignment="1">
      <alignment horizontal="center" vertical="center" wrapText="1"/>
    </xf>
    <xf numFmtId="0" fontId="40" fillId="0" borderId="1" xfId="1" applyFont="1" applyFill="1" applyBorder="1" applyAlignment="1">
      <alignment horizontal="center" vertical="center" wrapText="1"/>
    </xf>
    <xf numFmtId="0" fontId="16" fillId="0" borderId="1" xfId="1" applyFont="1" applyFill="1" applyBorder="1" applyAlignment="1">
      <alignment horizontal="left" vertical="center" wrapText="1"/>
    </xf>
    <xf numFmtId="1" fontId="16" fillId="0" borderId="1" xfId="1" applyNumberFormat="1" applyFont="1" applyFill="1" applyBorder="1" applyAlignment="1">
      <alignment horizontal="center" vertical="center" wrapText="1"/>
    </xf>
    <xf numFmtId="0" fontId="42" fillId="0" borderId="1" xfId="1" applyFont="1" applyFill="1" applyBorder="1" applyAlignment="1">
      <alignment horizontal="center" vertical="center" wrapText="1"/>
    </xf>
    <xf numFmtId="0" fontId="43" fillId="0" borderId="1" xfId="1" applyFont="1" applyFill="1" applyBorder="1" applyAlignment="1">
      <alignment horizontal="left" vertical="center" wrapText="1"/>
    </xf>
    <xf numFmtId="0" fontId="41" fillId="0" borderId="1" xfId="1" applyFont="1" applyFill="1" applyBorder="1" applyAlignment="1">
      <alignment horizontal="left" vertical="center" wrapText="1"/>
    </xf>
    <xf numFmtId="165" fontId="41" fillId="0" borderId="1" xfId="1" applyNumberFormat="1" applyFont="1" applyFill="1" applyBorder="1" applyAlignment="1">
      <alignment horizontal="center" vertical="center" wrapText="1"/>
    </xf>
    <xf numFmtId="165" fontId="16" fillId="0" borderId="1" xfId="1" applyNumberFormat="1" applyFont="1" applyFill="1" applyBorder="1" applyAlignment="1">
      <alignment horizontal="center" vertical="center" wrapText="1"/>
    </xf>
    <xf numFmtId="0" fontId="41" fillId="0" borderId="1" xfId="1" applyFont="1" applyFill="1" applyBorder="1" applyAlignment="1">
      <alignment horizontal="center" vertical="center" wrapText="1"/>
    </xf>
    <xf numFmtId="2" fontId="41" fillId="0" borderId="1" xfId="1" applyNumberFormat="1" applyFont="1" applyFill="1" applyBorder="1" applyAlignment="1">
      <alignment horizontal="center" vertical="center" wrapText="1"/>
    </xf>
    <xf numFmtId="0" fontId="41" fillId="0" borderId="2" xfId="1" applyFont="1" applyFill="1" applyBorder="1" applyAlignment="1">
      <alignment horizontal="center" vertical="center" wrapText="1"/>
    </xf>
    <xf numFmtId="0" fontId="41" fillId="0" borderId="4" xfId="1" applyFont="1" applyFill="1" applyBorder="1" applyAlignment="1">
      <alignment horizontal="center" vertical="center" wrapText="1"/>
    </xf>
    <xf numFmtId="0" fontId="41" fillId="0" borderId="3" xfId="1" applyFont="1" applyFill="1" applyBorder="1" applyAlignment="1">
      <alignment horizontal="center" vertical="center" wrapText="1"/>
    </xf>
    <xf numFmtId="0" fontId="40" fillId="0" borderId="1" xfId="1" applyFont="1" applyFill="1" applyBorder="1" applyAlignment="1">
      <alignment horizontal="center" vertical="center" wrapText="1"/>
    </xf>
    <xf numFmtId="0" fontId="14" fillId="0" borderId="0" xfId="1" applyFont="1" applyFill="1" applyAlignment="1">
      <alignment horizontal="center" vertical="center" wrapText="1"/>
    </xf>
    <xf numFmtId="0" fontId="12" fillId="0" borderId="0" xfId="1" applyFont="1" applyFill="1" applyAlignment="1">
      <alignment horizontal="justify" vertical="center" wrapText="1"/>
    </xf>
    <xf numFmtId="0" fontId="40" fillId="0" borderId="2" xfId="1" applyFont="1" applyFill="1" applyBorder="1" applyAlignment="1">
      <alignment horizontal="center" vertical="center" wrapText="1"/>
    </xf>
    <xf numFmtId="0" fontId="40" fillId="0" borderId="3" xfId="1" applyFont="1" applyFill="1" applyBorder="1" applyAlignment="1">
      <alignment horizontal="center" vertical="center" wrapText="1"/>
    </xf>
    <xf numFmtId="0" fontId="39" fillId="0" borderId="0" xfId="0" applyFont="1" applyFill="1" applyAlignment="1">
      <alignment horizontal="center"/>
    </xf>
    <xf numFmtId="0" fontId="12" fillId="0" borderId="0" xfId="0" applyFont="1" applyFill="1"/>
    <xf numFmtId="0" fontId="33" fillId="0" borderId="0" xfId="0" applyFont="1" applyFill="1" applyAlignment="1">
      <alignment horizontal="center" vertical="center" wrapText="1"/>
    </xf>
    <xf numFmtId="0" fontId="15" fillId="0" borderId="0" xfId="0" applyFont="1" applyFill="1" applyAlignment="1">
      <alignment horizontal="left" vertical="top" wrapText="1"/>
    </xf>
    <xf numFmtId="0" fontId="35" fillId="0" borderId="0" xfId="0" applyFont="1" applyFill="1" applyAlignment="1">
      <alignment horizontal="center" vertical="center" wrapText="1"/>
    </xf>
    <xf numFmtId="0" fontId="15" fillId="0" borderId="0" xfId="0" applyFont="1" applyFill="1" applyAlignment="1">
      <alignment horizontal="center" vertical="center" wrapText="1"/>
    </xf>
    <xf numFmtId="0" fontId="33" fillId="0" borderId="0" xfId="0" applyFont="1" applyFill="1" applyAlignment="1">
      <alignment horizontal="left" vertical="top" wrapText="1"/>
    </xf>
    <xf numFmtId="0" fontId="37" fillId="0" borderId="11" xfId="0" applyFont="1" applyFill="1" applyBorder="1" applyAlignment="1">
      <alignment horizontal="center" vertical="center" wrapText="1"/>
    </xf>
    <xf numFmtId="0" fontId="30" fillId="0" borderId="1" xfId="0" applyFont="1" applyBorder="1" applyAlignment="1">
      <alignment horizontal="center" vertical="center" wrapText="1"/>
    </xf>
    <xf numFmtId="0" fontId="25" fillId="0" borderId="1" xfId="0" applyFont="1" applyBorder="1" applyAlignment="1">
      <alignment horizontal="center" vertical="center"/>
    </xf>
    <xf numFmtId="0" fontId="30" fillId="0" borderId="1" xfId="0" applyFont="1" applyBorder="1" applyAlignment="1">
      <alignment horizontal="left" vertical="top" wrapText="1"/>
    </xf>
    <xf numFmtId="0" fontId="25" fillId="0" borderId="1" xfId="0" applyFont="1" applyBorder="1" applyAlignment="1">
      <alignment horizontal="center" vertical="center" wrapText="1"/>
    </xf>
    <xf numFmtId="0" fontId="24" fillId="0" borderId="8" xfId="0" applyFont="1" applyBorder="1" applyAlignment="1">
      <alignment horizontal="center" vertical="center"/>
    </xf>
    <xf numFmtId="0" fontId="24" fillId="0" borderId="0" xfId="0" applyFont="1" applyBorder="1" applyAlignment="1">
      <alignment horizontal="center" vertical="center"/>
    </xf>
    <xf numFmtId="0" fontId="30" fillId="0" borderId="10"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9"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4" xfId="0" applyFont="1" applyBorder="1" applyAlignment="1">
      <alignment horizontal="center" vertical="center" wrapText="1"/>
    </xf>
    <xf numFmtId="0" fontId="30" fillId="0" borderId="3" xfId="0" applyFont="1" applyBorder="1" applyAlignment="1">
      <alignment horizontal="center" vertical="center" wrapText="1"/>
    </xf>
  </cellXfs>
  <cellStyles count="25">
    <cellStyle name="Comma 2" xfId="3" xr:uid="{00000000-0005-0000-0000-000000000000}"/>
    <cellStyle name="Comma 3" xfId="4" xr:uid="{00000000-0005-0000-0000-000001000000}"/>
    <cellStyle name="Comma0 - Type3" xfId="5" xr:uid="{00000000-0005-0000-0000-000002000000}"/>
    <cellStyle name="Fixed2 - Type2" xfId="6" xr:uid="{00000000-0005-0000-0000-000003000000}"/>
    <cellStyle name="Hipervínculo" xfId="2" builtinId="8"/>
    <cellStyle name="Hyperlink 2" xfId="7" xr:uid="{00000000-0005-0000-0000-000005000000}"/>
    <cellStyle name="Hyperlink 3" xfId="8" xr:uid="{00000000-0005-0000-0000-000006000000}"/>
    <cellStyle name="Input 2" xfId="9" xr:uid="{00000000-0005-0000-0000-000007000000}"/>
    <cellStyle name="Komma 2" xfId="10" xr:uid="{00000000-0005-0000-0000-000008000000}"/>
    <cellStyle name="Komma 3" xfId="11" xr:uid="{00000000-0005-0000-0000-000009000000}"/>
    <cellStyle name="Link 2" xfId="12" xr:uid="{00000000-0005-0000-0000-00000A000000}"/>
    <cellStyle name="Neutral 2" xfId="13" xr:uid="{00000000-0005-0000-0000-00000B000000}"/>
    <cellStyle name="Normal" xfId="0" builtinId="0"/>
    <cellStyle name="Normal 10" xfId="14" xr:uid="{00000000-0005-0000-0000-00000D000000}"/>
    <cellStyle name="Normal 2" xfId="1" xr:uid="{00000000-0005-0000-0000-00000E000000}"/>
    <cellStyle name="Normal 3" xfId="15" xr:uid="{00000000-0005-0000-0000-00000F000000}"/>
    <cellStyle name="Normal 6" xfId="16" xr:uid="{00000000-0005-0000-0000-000010000000}"/>
    <cellStyle name="Normal 6 2" xfId="17" xr:uid="{00000000-0005-0000-0000-000011000000}"/>
    <cellStyle name="Output 2" xfId="18" xr:uid="{00000000-0005-0000-0000-000012000000}"/>
    <cellStyle name="Percen - Type1" xfId="19" xr:uid="{00000000-0005-0000-0000-000013000000}"/>
    <cellStyle name="Percent 2" xfId="20" xr:uid="{00000000-0005-0000-0000-000014000000}"/>
    <cellStyle name="Porcentaje" xfId="24" builtinId="5"/>
    <cellStyle name="Procent 2" xfId="21" xr:uid="{00000000-0005-0000-0000-000016000000}"/>
    <cellStyle name="Procent 3" xfId="22" xr:uid="{00000000-0005-0000-0000-000017000000}"/>
    <cellStyle name="Total 2" xfId="23" xr:uid="{00000000-0005-0000-0000-00001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chartsheet" Target="chartsheets/sheet4.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theme" Target="theme/theme1.xml"/><Relationship Id="rId5" Type="http://schemas.openxmlformats.org/officeDocument/2006/relationships/chartsheet" Target="chartsheets/sheet2.xml"/><Relationship Id="rId10" Type="http://schemas.openxmlformats.org/officeDocument/2006/relationships/externalLink" Target="externalLinks/externalLink3.xml"/><Relationship Id="rId4" Type="http://schemas.openxmlformats.org/officeDocument/2006/relationships/chartsheet" Target="chartsheets/sheet1.xml"/><Relationship Id="rId9" Type="http://schemas.openxmlformats.org/officeDocument/2006/relationships/externalLink" Target="externalLinks/externalLink2.xml"/><Relationship Id="rId14" Type="http://schemas.openxmlformats.org/officeDocument/2006/relationships/calcChain" Target="calcChain.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scatterChart>
        <c:scatterStyle val="smooth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exp"/>
            <c:dispRSqr val="1"/>
            <c:dispEq val="1"/>
            <c:trendlineLbl>
              <c:layout>
                <c:manualLayout>
                  <c:x val="-0.12517715870651999"/>
                  <c:y val="-8.7149033380353735E-3"/>
                </c:manualLayout>
              </c:layout>
              <c:numFmt formatCode="#,##0.000000" sourceLinked="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s-MX"/>
                </a:p>
              </c:txPr>
            </c:trendlineLbl>
          </c:trendline>
          <c:xVal>
            <c:numRef>
              <c:f>(Data!$D$2,Data!$F$2,Data!$G$2,Data!$H$2)</c:f>
              <c:numCache>
                <c:formatCode>General</c:formatCode>
                <c:ptCount val="4"/>
                <c:pt idx="0">
                  <c:v>2016</c:v>
                </c:pt>
                <c:pt idx="1">
                  <c:v>2020</c:v>
                </c:pt>
                <c:pt idx="2">
                  <c:v>2025</c:v>
                </c:pt>
                <c:pt idx="3">
                  <c:v>2030</c:v>
                </c:pt>
              </c:numCache>
            </c:numRef>
          </c:xVal>
          <c:yVal>
            <c:numRef>
              <c:f>(Data!$D$17,Data!$F$17,Data!$G$17,Data!$H$17)</c:f>
              <c:numCache>
                <c:formatCode>0.000</c:formatCode>
                <c:ptCount val="4"/>
                <c:pt idx="0">
                  <c:v>0.26250000000000001</c:v>
                </c:pt>
                <c:pt idx="1">
                  <c:v>0.21560000000000001</c:v>
                </c:pt>
                <c:pt idx="2">
                  <c:v>0.1686</c:v>
                </c:pt>
                <c:pt idx="3">
                  <c:v>0.1318</c:v>
                </c:pt>
              </c:numCache>
            </c:numRef>
          </c:yVal>
          <c:smooth val="1"/>
          <c:extLst>
            <c:ext xmlns:c16="http://schemas.microsoft.com/office/drawing/2014/chart" uri="{C3380CC4-5D6E-409C-BE32-E72D297353CC}">
              <c16:uniqueId val="{00000000-A6ED-49CE-8505-90AA502F890F}"/>
            </c:ext>
          </c:extLst>
        </c:ser>
        <c:dLbls>
          <c:showLegendKey val="0"/>
          <c:showVal val="0"/>
          <c:showCatName val="0"/>
          <c:showSerName val="0"/>
          <c:showPercent val="0"/>
          <c:showBubbleSize val="0"/>
        </c:dLbls>
        <c:axId val="91176320"/>
        <c:axId val="91188608"/>
      </c:scatterChart>
      <c:valAx>
        <c:axId val="9117632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91188608"/>
        <c:crosses val="autoZero"/>
        <c:crossBetween val="midCat"/>
      </c:valAx>
      <c:valAx>
        <c:axId val="91188608"/>
        <c:scaling>
          <c:orientation val="minMax"/>
          <c:min val="6.0000000000000012E-2"/>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91176320"/>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scatterChart>
        <c:scatterStyle val="smooth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exp"/>
            <c:dispRSqr val="1"/>
            <c:dispEq val="1"/>
            <c:trendlineLbl>
              <c:layout>
                <c:manualLayout>
                  <c:x val="5.2705735402432376E-2"/>
                  <c:y val="0.6715078408196532"/>
                </c:manualLayout>
              </c:layout>
              <c:numFmt formatCode="#,##0.000000000000000000000000000000000000000000000000" sourceLinked="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s-MX"/>
                </a:p>
              </c:txPr>
            </c:trendlineLbl>
          </c:trendline>
          <c:xVal>
            <c:numRef>
              <c:f>(Data!$D$2,Data!$F$2,Data!$G$2,Data!$H$2)</c:f>
              <c:numCache>
                <c:formatCode>General</c:formatCode>
                <c:ptCount val="4"/>
                <c:pt idx="0">
                  <c:v>2016</c:v>
                </c:pt>
                <c:pt idx="1">
                  <c:v>2020</c:v>
                </c:pt>
                <c:pt idx="2">
                  <c:v>2025</c:v>
                </c:pt>
                <c:pt idx="3">
                  <c:v>2030</c:v>
                </c:pt>
              </c:numCache>
            </c:numRef>
          </c:xVal>
          <c:yVal>
            <c:numRef>
              <c:f>(Data!$D$22,Data!$F$22,Data!$G$22,Data!$H$22)</c:f>
              <c:numCache>
                <c:formatCode>General</c:formatCode>
                <c:ptCount val="4"/>
                <c:pt idx="0">
                  <c:v>1500</c:v>
                </c:pt>
                <c:pt idx="1">
                  <c:v>1866</c:v>
                </c:pt>
                <c:pt idx="2">
                  <c:v>2453</c:v>
                </c:pt>
                <c:pt idx="3">
                  <c:v>3225</c:v>
                </c:pt>
              </c:numCache>
            </c:numRef>
          </c:yVal>
          <c:smooth val="1"/>
          <c:extLst>
            <c:ext xmlns:c16="http://schemas.microsoft.com/office/drawing/2014/chart" uri="{C3380CC4-5D6E-409C-BE32-E72D297353CC}">
              <c16:uniqueId val="{00000000-463E-4E7B-A3E1-D85362D99963}"/>
            </c:ext>
          </c:extLst>
        </c:ser>
        <c:dLbls>
          <c:showLegendKey val="0"/>
          <c:showVal val="0"/>
          <c:showCatName val="0"/>
          <c:showSerName val="0"/>
          <c:showPercent val="0"/>
          <c:showBubbleSize val="0"/>
        </c:dLbls>
        <c:axId val="93744512"/>
        <c:axId val="108186240"/>
      </c:scatterChart>
      <c:valAx>
        <c:axId val="9374451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08186240"/>
        <c:crosses val="autoZero"/>
        <c:crossBetween val="midCat"/>
      </c:valAx>
      <c:valAx>
        <c:axId val="108186240"/>
        <c:scaling>
          <c:orientation val="minMax"/>
          <c:min val="10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93744512"/>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scatterChart>
        <c:scatterStyle val="smooth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exp"/>
            <c:forward val="20"/>
            <c:dispRSqr val="1"/>
            <c:dispEq val="1"/>
            <c:trendlineLbl>
              <c:layout>
                <c:manualLayout>
                  <c:x val="-3.319069646373745E-2"/>
                  <c:y val="-7.521193883866123E-2"/>
                </c:manualLayout>
              </c:layout>
              <c:numFmt formatCode="#,##0.000000000000000000000000000" sourceLinked="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s-MX"/>
                </a:p>
              </c:txPr>
            </c:trendlineLbl>
          </c:trendline>
          <c:trendline>
            <c:spPr>
              <a:ln w="25400" cap="rnd">
                <a:solidFill>
                  <a:schemeClr val="accent2"/>
                </a:solidFill>
                <a:prstDash val="sysDot"/>
              </a:ln>
              <a:effectLst/>
            </c:spPr>
            <c:trendlineType val="linear"/>
            <c:forward val="20"/>
            <c:dispRSqr val="1"/>
            <c:dispEq val="1"/>
            <c:trendlineLbl>
              <c:layout>
                <c:manualLayout>
                  <c:x val="6.3759314269195705E-2"/>
                  <c:y val="0.23829940792551454"/>
                </c:manualLayout>
              </c:layout>
              <c:numFmt formatCode="#,##0.00" sourceLinked="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s-MX"/>
                </a:p>
              </c:txPr>
            </c:trendlineLbl>
          </c:trendline>
          <c:xVal>
            <c:numRef>
              <c:f>(Data!$F$2,Data!$H$2)</c:f>
              <c:numCache>
                <c:formatCode>General</c:formatCode>
                <c:ptCount val="2"/>
                <c:pt idx="0">
                  <c:v>2020</c:v>
                </c:pt>
                <c:pt idx="1">
                  <c:v>2030</c:v>
                </c:pt>
              </c:numCache>
            </c:numRef>
          </c:xVal>
          <c:yVal>
            <c:numRef>
              <c:f>(Data!$F$25,Data!$H$25)</c:f>
              <c:numCache>
                <c:formatCode>General</c:formatCode>
                <c:ptCount val="2"/>
                <c:pt idx="0">
                  <c:v>37.5</c:v>
                </c:pt>
                <c:pt idx="1">
                  <c:v>50</c:v>
                </c:pt>
              </c:numCache>
            </c:numRef>
          </c:yVal>
          <c:smooth val="1"/>
          <c:extLst>
            <c:ext xmlns:c16="http://schemas.microsoft.com/office/drawing/2014/chart" uri="{C3380CC4-5D6E-409C-BE32-E72D297353CC}">
              <c16:uniqueId val="{00000000-BA5C-4BEF-8777-F0681E536714}"/>
            </c:ext>
          </c:extLst>
        </c:ser>
        <c:dLbls>
          <c:showLegendKey val="0"/>
          <c:showVal val="0"/>
          <c:showCatName val="0"/>
          <c:showSerName val="0"/>
          <c:showPercent val="0"/>
          <c:showBubbleSize val="0"/>
        </c:dLbls>
        <c:axId val="109894656"/>
        <c:axId val="118171904"/>
      </c:scatterChart>
      <c:valAx>
        <c:axId val="10989465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18171904"/>
        <c:crosses val="autoZero"/>
        <c:crossBetween val="midCat"/>
      </c:valAx>
      <c:valAx>
        <c:axId val="118171904"/>
        <c:scaling>
          <c:orientation val="minMax"/>
          <c:min val="3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09894656"/>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scatterChart>
        <c:scatterStyle val="smooth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exp"/>
            <c:forward val="20"/>
            <c:dispRSqr val="1"/>
            <c:dispEq val="1"/>
            <c:trendlineLbl>
              <c:layout>
                <c:manualLayout>
                  <c:x val="3.9484308065141548E-2"/>
                  <c:y val="-5.6191210719179374E-2"/>
                </c:manualLayout>
              </c:layout>
              <c:numFmt formatCode="#,##0.000000000000000000000000000000000000000000000000000000000000" sourceLinked="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s-MX"/>
                </a:p>
              </c:txPr>
            </c:trendlineLbl>
          </c:trendline>
          <c:trendline>
            <c:spPr>
              <a:ln w="28575" cap="rnd">
                <a:solidFill>
                  <a:schemeClr val="accent2"/>
                </a:solidFill>
                <a:prstDash val="sysDot"/>
              </a:ln>
              <a:effectLst/>
            </c:spPr>
            <c:trendlineType val="linear"/>
            <c:forward val="20"/>
            <c:dispRSqr val="1"/>
            <c:dispEq val="1"/>
            <c:trendlineLbl>
              <c:layout>
                <c:manualLayout>
                  <c:x val="0.10221070503505025"/>
                  <c:y val="0.10094243856492909"/>
                </c:manualLayout>
              </c:layout>
              <c:numFmt formatCode="#,##0.00" sourceLinked="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s-MX"/>
                </a:p>
              </c:txPr>
            </c:trendlineLbl>
          </c:trendline>
          <c:xVal>
            <c:numRef>
              <c:f>(Data!$F$2,Data!$H$2)</c:f>
              <c:numCache>
                <c:formatCode>General</c:formatCode>
                <c:ptCount val="2"/>
                <c:pt idx="0">
                  <c:v>2020</c:v>
                </c:pt>
                <c:pt idx="1">
                  <c:v>2030</c:v>
                </c:pt>
              </c:numCache>
            </c:numRef>
          </c:xVal>
          <c:yVal>
            <c:numRef>
              <c:f>(Data!$F$26,Data!$H$26)</c:f>
              <c:numCache>
                <c:formatCode>General</c:formatCode>
                <c:ptCount val="2"/>
                <c:pt idx="0">
                  <c:v>100</c:v>
                </c:pt>
                <c:pt idx="1">
                  <c:v>195</c:v>
                </c:pt>
              </c:numCache>
            </c:numRef>
          </c:yVal>
          <c:smooth val="1"/>
          <c:extLst>
            <c:ext xmlns:c16="http://schemas.microsoft.com/office/drawing/2014/chart" uri="{C3380CC4-5D6E-409C-BE32-E72D297353CC}">
              <c16:uniqueId val="{00000000-2E82-4F52-B81F-96AF0E6A74BD}"/>
            </c:ext>
          </c:extLst>
        </c:ser>
        <c:dLbls>
          <c:showLegendKey val="0"/>
          <c:showVal val="0"/>
          <c:showCatName val="0"/>
          <c:showSerName val="0"/>
          <c:showPercent val="0"/>
          <c:showBubbleSize val="0"/>
        </c:dLbls>
        <c:axId val="165264000"/>
        <c:axId val="165269888"/>
      </c:scatterChart>
      <c:valAx>
        <c:axId val="16526400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65269888"/>
        <c:crosses val="autoZero"/>
        <c:crossBetween val="midCat"/>
      </c:valAx>
      <c:valAx>
        <c:axId val="165269888"/>
        <c:scaling>
          <c:orientation val="minMax"/>
          <c:min val="5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65264000"/>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sheetViews>
    <sheetView zoomScale="121"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sheetViews>
    <sheetView zoomScale="121"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sheetViews>
    <sheetView zoomScale="121"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sheetViews>
    <sheetView zoomScale="121"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absoluteAnchor>
    <xdr:pos x="0" y="0"/>
    <xdr:ext cx="9304587" cy="6077107"/>
    <xdr:graphicFrame macro="">
      <xdr:nvGraphicFramePr>
        <xdr:cNvPr id="2" name="Gráfico 1">
          <a:extLst>
            <a:ext uri="{FF2B5EF4-FFF2-40B4-BE49-F238E27FC236}">
              <a16:creationId xmlns:a16="http://schemas.microsoft.com/office/drawing/2014/main" id="{81912B41-81AA-4E82-A814-3C9C745F7C7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304587" cy="6077107"/>
    <xdr:graphicFrame macro="">
      <xdr:nvGraphicFramePr>
        <xdr:cNvPr id="2" name="Gráfico 1">
          <a:extLst>
            <a:ext uri="{FF2B5EF4-FFF2-40B4-BE49-F238E27FC236}">
              <a16:creationId xmlns:a16="http://schemas.microsoft.com/office/drawing/2014/main" id="{80C353BA-01C3-49EC-90C6-CC94ED07B0E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312459" cy="6077107"/>
    <xdr:graphicFrame macro="">
      <xdr:nvGraphicFramePr>
        <xdr:cNvPr id="2" name="Gráfico 1">
          <a:extLst>
            <a:ext uri="{FF2B5EF4-FFF2-40B4-BE49-F238E27FC236}">
              <a16:creationId xmlns:a16="http://schemas.microsoft.com/office/drawing/2014/main" id="{FB260EE0-6A3D-41B6-8732-51CDFA61F69F}"/>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312459" cy="6077107"/>
    <xdr:graphicFrame macro="">
      <xdr:nvGraphicFramePr>
        <xdr:cNvPr id="2" name="Gráfico 1">
          <a:extLst>
            <a:ext uri="{FF2B5EF4-FFF2-40B4-BE49-F238E27FC236}">
              <a16:creationId xmlns:a16="http://schemas.microsoft.com/office/drawing/2014/main" id="{C09ECA73-A128-4A13-866F-2753C0D4092B}"/>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ns.dk/0110_2014%20teknologikatalog%20opdat/Fase%203/PV%20HURTIG%20JAN2017/oktober%202017/Copy%20of%2020-23_electricity_generation_-_non-thermal_processes_solar%20PV%20_%20data%20sheet%20rin%2011ok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C/Downloads/MX%20TC%20Data%20Sheets%20Draft1_Ver_191126_DK.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PC/Desktop/COOP%20DANESA/Catalogue/MX%20TC%20Data%20Sheets%20-%20final%20draft_revisi&#243;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2 Photovoltaics  LARGE Old"/>
      <sheetName val="arbejds ark LARGE New"/>
      <sheetName val="22 Photovoltaics  SMALL old "/>
      <sheetName val="fra leverandører"/>
      <sheetName val="22 Photovoltaics  LARGE new"/>
    </sheetNames>
    <sheetDataSet>
      <sheetData sheetId="0">
        <row r="2">
          <cell r="N2">
            <v>0.98501248959200671</v>
          </cell>
        </row>
      </sheetData>
      <sheetData sheetId="1">
        <row r="33">
          <cell r="K33">
            <v>1.0720000000000001</v>
          </cell>
        </row>
        <row r="67">
          <cell r="S67">
            <v>0.97574759572313619</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C Pumped hydro storage"/>
      <sheetName val="DaTC Flywheels"/>
      <sheetName val="PHS"/>
      <sheetName val="CAES"/>
      <sheetName val="Flywheels"/>
      <sheetName val="Li-Ion Battery"/>
      <sheetName val="VR Flow Battery"/>
      <sheetName val="Na-S Battery"/>
      <sheetName val="Lead acid battery"/>
      <sheetName val="Molten Salt"/>
      <sheetName val="Supercapacitors"/>
      <sheetName val="Lead acid battery DK"/>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2 Pump Hydro Storage"/>
      <sheetName val="PHS - Datos revisión"/>
      <sheetName val="03 Lithium Ion Battery"/>
      <sheetName val="04 Lead-Acid Battery"/>
      <sheetName val="Lead Acid - Datos revisión."/>
      <sheetName val="05 Na-S Battery"/>
      <sheetName val="Na-S - Datos revision"/>
      <sheetName val="06 Vanadium Redox Flow Battery"/>
      <sheetName val="07 Molten Salt Storage 2f"/>
      <sheetName val="Molten Salt -Datos revisión "/>
      <sheetName val="08 CAES"/>
      <sheetName val="09 Supercapacitors"/>
      <sheetName val="Supercapacit - Datos recientes"/>
      <sheetName val="10 Flywheels"/>
      <sheetName val="Flywheels - Datos recientes"/>
      <sheetName val="VR Flow - Datos revision"/>
      <sheetName val="CAES -Datos recient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wholesalesolar.com/cms/fullriver-dc400-6-agm-battery-specs-4017212128.pdf" TargetMode="External"/><Relationship Id="rId1" Type="http://schemas.openxmlformats.org/officeDocument/2006/relationships/hyperlink" Target="https://www.irena.org/-/media/Files/IRENA/Agency/Events/2017/Mar/15/2017_Kairies_Battery_Cost_and_Performance_01.pdf"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hyperlink" Target="https://www.wholesalesolar.com/cms/fullriver-dc400-6-agm-battery-specs-4017212128.pdf" TargetMode="External"/><Relationship Id="rId1" Type="http://schemas.openxmlformats.org/officeDocument/2006/relationships/hyperlink" Target="https://www.irena.org/-/media/Files/IRENA/Agency/Events/2017/Mar/15/2017_Kairies_Battery_Cost_and_Performance_01.pdf"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hyperlink" Target="https://www.wholesalesolar.com/cms/fullriver-dc400-6-agm-battery-specs-4017212128.pdf" TargetMode="External"/><Relationship Id="rId1" Type="http://schemas.openxmlformats.org/officeDocument/2006/relationships/hyperlink" Target="https://www.irena.org/-/media/Files/IRENA/Agency/Events/2017/Mar/15/2017_Kairies_Battery_Cost_and_Performance_01.pdf" TargetMode="External"/><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249977111117893"/>
  </sheetPr>
  <dimension ref="B1:X82"/>
  <sheetViews>
    <sheetView tabSelected="1" zoomScale="80" zoomScaleNormal="80" workbookViewId="0">
      <selection activeCell="B2" sqref="B2:K34"/>
    </sheetView>
  </sheetViews>
  <sheetFormatPr baseColWidth="10" defaultColWidth="9.140625" defaultRowHeight="18"/>
  <cols>
    <col min="1" max="1" width="2.5703125" style="1" customWidth="1"/>
    <col min="2" max="2" width="61.85546875" style="1" customWidth="1"/>
    <col min="3" max="9" width="10.7109375" style="1" customWidth="1"/>
    <col min="10" max="10" width="9.140625" style="1"/>
    <col min="11" max="11" width="16.28515625" style="1" customWidth="1"/>
    <col min="12" max="12" width="16.85546875" style="2" customWidth="1"/>
    <col min="13" max="16384" width="9.140625" style="1"/>
  </cols>
  <sheetData>
    <row r="1" spans="2:24">
      <c r="M1" s="2"/>
      <c r="N1" s="2"/>
      <c r="O1" s="2"/>
      <c r="P1" s="2"/>
      <c r="Q1" s="2"/>
      <c r="R1" s="2"/>
      <c r="S1" s="2"/>
      <c r="T1" s="2"/>
      <c r="U1" s="2"/>
      <c r="V1" s="2"/>
      <c r="W1" s="2"/>
      <c r="X1" s="2"/>
    </row>
    <row r="2" spans="2:24">
      <c r="B2" s="107" t="s">
        <v>0</v>
      </c>
      <c r="C2" s="122" t="s">
        <v>211</v>
      </c>
      <c r="D2" s="122"/>
      <c r="E2" s="122"/>
      <c r="F2" s="122"/>
      <c r="G2" s="122"/>
      <c r="H2" s="122"/>
      <c r="I2" s="122"/>
      <c r="J2" s="122"/>
      <c r="K2" s="122"/>
      <c r="L2" s="123"/>
      <c r="M2" s="123"/>
      <c r="N2" s="124"/>
      <c r="O2" s="124"/>
      <c r="P2" s="124"/>
      <c r="Q2" s="124"/>
      <c r="R2" s="124"/>
      <c r="S2" s="124"/>
      <c r="T2" s="124"/>
      <c r="U2" s="124"/>
      <c r="V2" s="124"/>
      <c r="W2" s="124"/>
      <c r="X2" s="124"/>
    </row>
    <row r="3" spans="2:24" ht="30.75" customHeight="1">
      <c r="B3" s="108"/>
      <c r="C3" s="109">
        <v>2020</v>
      </c>
      <c r="D3" s="109">
        <v>2030</v>
      </c>
      <c r="E3" s="109">
        <v>2050</v>
      </c>
      <c r="F3" s="125" t="s">
        <v>1</v>
      </c>
      <c r="G3" s="126"/>
      <c r="H3" s="125" t="s">
        <v>119</v>
      </c>
      <c r="I3" s="126"/>
      <c r="J3" s="109" t="s">
        <v>2</v>
      </c>
      <c r="K3" s="109" t="s">
        <v>3</v>
      </c>
      <c r="L3" s="3"/>
      <c r="M3" s="3"/>
      <c r="N3" s="4"/>
      <c r="O3" s="4"/>
      <c r="P3" s="4"/>
      <c r="Q3" s="3"/>
      <c r="R3" s="3"/>
      <c r="S3" s="4"/>
      <c r="T3" s="4"/>
      <c r="U3" s="4"/>
      <c r="V3" s="3"/>
      <c r="W3" s="3"/>
      <c r="X3" s="4"/>
    </row>
    <row r="4" spans="2:24">
      <c r="B4" s="109" t="s">
        <v>4</v>
      </c>
      <c r="C4" s="109"/>
      <c r="D4" s="109"/>
      <c r="E4" s="109"/>
      <c r="F4" s="109" t="s">
        <v>5</v>
      </c>
      <c r="G4" s="109" t="s">
        <v>6</v>
      </c>
      <c r="H4" s="109" t="s">
        <v>5</v>
      </c>
      <c r="I4" s="109" t="s">
        <v>7</v>
      </c>
      <c r="J4" s="109"/>
      <c r="K4" s="109"/>
      <c r="L4" s="3"/>
      <c r="M4" s="3"/>
      <c r="N4" s="4"/>
      <c r="O4" s="4"/>
      <c r="P4" s="4"/>
      <c r="Q4" s="3"/>
      <c r="R4" s="3"/>
      <c r="S4" s="4"/>
      <c r="T4" s="4"/>
      <c r="U4" s="4"/>
      <c r="V4" s="3"/>
      <c r="W4" s="3"/>
      <c r="X4" s="4"/>
    </row>
    <row r="5" spans="2:24" s="2" customFormat="1" ht="18" customHeight="1">
      <c r="B5" s="110" t="s">
        <v>8</v>
      </c>
      <c r="C5" s="119" t="s">
        <v>9</v>
      </c>
      <c r="D5" s="120"/>
      <c r="E5" s="121"/>
      <c r="F5" s="108"/>
      <c r="G5" s="108"/>
      <c r="H5" s="108"/>
      <c r="I5" s="108"/>
      <c r="J5" s="108"/>
      <c r="K5" s="108"/>
      <c r="L5" s="3"/>
      <c r="M5" s="3"/>
      <c r="N5" s="4"/>
      <c r="O5" s="4"/>
      <c r="P5" s="4"/>
      <c r="Q5" s="3"/>
      <c r="R5" s="3"/>
      <c r="S5" s="4"/>
      <c r="T5" s="4"/>
      <c r="U5" s="4"/>
      <c r="V5" s="3"/>
      <c r="W5" s="3"/>
      <c r="X5" s="4"/>
    </row>
    <row r="6" spans="2:24" s="2" customFormat="1" ht="26.25" customHeight="1">
      <c r="B6" s="110" t="s">
        <v>10</v>
      </c>
      <c r="C6" s="119" t="s">
        <v>11</v>
      </c>
      <c r="D6" s="120"/>
      <c r="E6" s="121"/>
      <c r="F6" s="108"/>
      <c r="G6" s="108"/>
      <c r="H6" s="108"/>
      <c r="I6" s="108"/>
      <c r="J6" s="108"/>
      <c r="K6" s="108"/>
      <c r="L6" s="3"/>
      <c r="M6" s="3"/>
      <c r="N6" s="4"/>
      <c r="O6" s="4"/>
      <c r="P6" s="4"/>
      <c r="Q6" s="3"/>
      <c r="R6" s="3"/>
      <c r="S6" s="4"/>
      <c r="T6" s="4"/>
      <c r="U6" s="4"/>
      <c r="V6" s="3"/>
      <c r="W6" s="3"/>
      <c r="X6" s="4"/>
    </row>
    <row r="7" spans="2:24" s="2" customFormat="1" ht="18" customHeight="1">
      <c r="B7" s="110" t="s">
        <v>12</v>
      </c>
      <c r="C7" s="111">
        <v>30</v>
      </c>
      <c r="D7" s="111">
        <v>30</v>
      </c>
      <c r="E7" s="111">
        <v>30</v>
      </c>
      <c r="F7" s="108">
        <v>30</v>
      </c>
      <c r="G7" s="108">
        <v>30</v>
      </c>
      <c r="H7" s="108">
        <v>30</v>
      </c>
      <c r="I7" s="108">
        <v>30</v>
      </c>
      <c r="J7" s="108"/>
      <c r="K7" s="108" t="s">
        <v>13</v>
      </c>
      <c r="L7" s="3"/>
      <c r="M7" s="3"/>
      <c r="N7" s="4"/>
      <c r="O7" s="4"/>
      <c r="P7" s="4"/>
      <c r="Q7" s="3"/>
      <c r="R7" s="3"/>
      <c r="S7" s="4"/>
      <c r="T7" s="4"/>
      <c r="U7" s="4"/>
      <c r="V7" s="3"/>
      <c r="W7" s="3"/>
      <c r="X7" s="4"/>
    </row>
    <row r="8" spans="2:24" s="2" customFormat="1" ht="18" customHeight="1">
      <c r="B8" s="110" t="s">
        <v>14</v>
      </c>
      <c r="C8" s="108">
        <v>15</v>
      </c>
      <c r="D8" s="108">
        <v>15</v>
      </c>
      <c r="E8" s="108">
        <v>15</v>
      </c>
      <c r="F8" s="108">
        <v>15</v>
      </c>
      <c r="G8" s="108">
        <v>15</v>
      </c>
      <c r="H8" s="108">
        <v>15</v>
      </c>
      <c r="I8" s="108">
        <v>15</v>
      </c>
      <c r="J8" s="108"/>
      <c r="K8" s="108" t="s">
        <v>13</v>
      </c>
      <c r="L8" s="3"/>
      <c r="M8" s="3"/>
      <c r="N8" s="4"/>
      <c r="O8" s="4"/>
      <c r="P8" s="4"/>
      <c r="Q8" s="3"/>
      <c r="R8" s="3"/>
      <c r="S8" s="4"/>
      <c r="T8" s="4"/>
      <c r="U8" s="4"/>
      <c r="V8" s="3"/>
      <c r="W8" s="3"/>
      <c r="X8" s="4"/>
    </row>
    <row r="9" spans="2:24" s="2" customFormat="1" ht="18" customHeight="1">
      <c r="B9" s="110" t="s">
        <v>15</v>
      </c>
      <c r="C9" s="108">
        <v>15</v>
      </c>
      <c r="D9" s="108">
        <v>15</v>
      </c>
      <c r="E9" s="108">
        <v>15</v>
      </c>
      <c r="F9" s="108">
        <v>15</v>
      </c>
      <c r="G9" s="108">
        <v>15</v>
      </c>
      <c r="H9" s="108">
        <v>15</v>
      </c>
      <c r="I9" s="108">
        <v>15</v>
      </c>
      <c r="J9" s="108" t="s">
        <v>16</v>
      </c>
      <c r="K9" s="108"/>
      <c r="L9" s="3"/>
      <c r="M9" s="3"/>
      <c r="N9" s="4"/>
      <c r="O9" s="4"/>
      <c r="P9" s="4"/>
      <c r="Q9" s="3"/>
      <c r="R9" s="3"/>
      <c r="S9" s="4"/>
      <c r="T9" s="4"/>
      <c r="U9" s="4"/>
      <c r="V9" s="3"/>
      <c r="W9" s="3"/>
      <c r="X9" s="4"/>
    </row>
    <row r="10" spans="2:24" s="2" customFormat="1" ht="18" customHeight="1">
      <c r="B10" s="110" t="s">
        <v>17</v>
      </c>
      <c r="C10" s="112">
        <v>82</v>
      </c>
      <c r="D10" s="108">
        <v>85</v>
      </c>
      <c r="E10" s="108">
        <v>85</v>
      </c>
      <c r="F10" s="108">
        <v>76</v>
      </c>
      <c r="G10" s="108">
        <v>93</v>
      </c>
      <c r="H10" s="108">
        <v>78</v>
      </c>
      <c r="I10" s="108">
        <v>96</v>
      </c>
      <c r="J10" s="108" t="s">
        <v>18</v>
      </c>
      <c r="K10" s="108" t="s">
        <v>117</v>
      </c>
      <c r="L10" s="3"/>
      <c r="M10" s="3"/>
      <c r="N10" s="4"/>
      <c r="O10" s="4"/>
      <c r="P10" s="4"/>
      <c r="Q10" s="3"/>
      <c r="R10" s="3"/>
      <c r="S10" s="4"/>
      <c r="T10" s="4"/>
      <c r="U10" s="4"/>
      <c r="V10" s="3"/>
      <c r="W10" s="3"/>
      <c r="X10" s="4"/>
    </row>
    <row r="11" spans="2:24" s="2" customFormat="1" ht="18" customHeight="1">
      <c r="B11" s="110" t="s">
        <v>210</v>
      </c>
      <c r="C11" s="111">
        <f>POWER(C10/100,0.5)*100</f>
        <v>90.553851381374159</v>
      </c>
      <c r="D11" s="111">
        <f t="shared" ref="D11:I11" si="0">POWER(D10/100,0.5)*100</f>
        <v>92.195444572928878</v>
      </c>
      <c r="E11" s="111">
        <f t="shared" si="0"/>
        <v>92.195444572928878</v>
      </c>
      <c r="F11" s="111">
        <f t="shared" si="0"/>
        <v>87.177978870813462</v>
      </c>
      <c r="G11" s="111">
        <f t="shared" si="0"/>
        <v>96.436507609929549</v>
      </c>
      <c r="H11" s="111">
        <f t="shared" si="0"/>
        <v>88.317608663278463</v>
      </c>
      <c r="I11" s="111">
        <f t="shared" si="0"/>
        <v>97.979589711327122</v>
      </c>
      <c r="J11" s="108"/>
      <c r="K11" s="108"/>
      <c r="L11" s="3"/>
      <c r="M11" s="3"/>
      <c r="N11" s="4"/>
      <c r="O11" s="4"/>
      <c r="P11" s="4"/>
      <c r="Q11" s="3"/>
      <c r="R11" s="3"/>
      <c r="S11" s="4"/>
      <c r="T11" s="4"/>
      <c r="U11" s="4"/>
      <c r="V11" s="3"/>
      <c r="W11" s="3"/>
      <c r="X11" s="4"/>
    </row>
    <row r="12" spans="2:24" s="2" customFormat="1" ht="18" customHeight="1">
      <c r="B12" s="113" t="s">
        <v>19</v>
      </c>
      <c r="C12" s="111">
        <f>C11</f>
        <v>90.553851381374159</v>
      </c>
      <c r="D12" s="111">
        <f t="shared" ref="D12:E12" si="1">D11</f>
        <v>92.195444572928878</v>
      </c>
      <c r="E12" s="111">
        <f t="shared" si="1"/>
        <v>92.195444572928878</v>
      </c>
      <c r="F12" s="111">
        <f>F11</f>
        <v>87.177978870813462</v>
      </c>
      <c r="G12" s="111">
        <f t="shared" ref="G12:I12" si="2">G11</f>
        <v>96.436507609929549</v>
      </c>
      <c r="H12" s="111">
        <f t="shared" si="2"/>
        <v>88.317608663278463</v>
      </c>
      <c r="I12" s="111">
        <f t="shared" si="2"/>
        <v>97.979589711327122</v>
      </c>
      <c r="J12" s="108"/>
      <c r="K12" s="108"/>
      <c r="L12" s="3"/>
      <c r="M12" s="3"/>
      <c r="N12" s="4"/>
      <c r="O12" s="4"/>
      <c r="P12" s="4"/>
      <c r="Q12" s="3"/>
      <c r="R12" s="3"/>
      <c r="S12" s="4"/>
      <c r="T12" s="4"/>
      <c r="U12" s="4"/>
      <c r="V12" s="3"/>
      <c r="W12" s="3"/>
      <c r="X12" s="4"/>
    </row>
    <row r="13" spans="2:24" s="2" customFormat="1" ht="18" customHeight="1">
      <c r="B13" s="110" t="s">
        <v>21</v>
      </c>
      <c r="C13" s="108">
        <v>0.3</v>
      </c>
      <c r="D13" s="108">
        <v>0.3</v>
      </c>
      <c r="E13" s="108">
        <v>0.3</v>
      </c>
      <c r="F13" s="108">
        <v>0.1</v>
      </c>
      <c r="G13" s="108">
        <v>0.4</v>
      </c>
      <c r="H13" s="108">
        <v>0.1</v>
      </c>
      <c r="I13" s="108">
        <v>0.4</v>
      </c>
      <c r="J13" s="108"/>
      <c r="K13" s="108" t="s">
        <v>22</v>
      </c>
      <c r="L13" s="3"/>
      <c r="M13" s="3"/>
      <c r="N13" s="4"/>
      <c r="O13" s="4"/>
      <c r="P13" s="4"/>
      <c r="Q13" s="3"/>
      <c r="R13" s="3"/>
      <c r="S13" s="4"/>
      <c r="T13" s="4"/>
      <c r="U13" s="4"/>
      <c r="V13" s="3"/>
      <c r="W13" s="3"/>
      <c r="X13" s="4"/>
    </row>
    <row r="14" spans="2:24" s="2" customFormat="1" ht="18" customHeight="1">
      <c r="B14" s="110" t="s">
        <v>23</v>
      </c>
      <c r="C14" s="108">
        <v>0</v>
      </c>
      <c r="D14" s="108">
        <v>0</v>
      </c>
      <c r="E14" s="108">
        <v>0</v>
      </c>
      <c r="F14" s="108">
        <v>0</v>
      </c>
      <c r="G14" s="108">
        <v>0.1</v>
      </c>
      <c r="H14" s="108">
        <v>0</v>
      </c>
      <c r="I14" s="108">
        <v>0.1</v>
      </c>
      <c r="J14" s="108" t="s">
        <v>24</v>
      </c>
      <c r="K14" s="108"/>
      <c r="L14" s="3"/>
      <c r="M14" s="3"/>
      <c r="N14" s="4"/>
      <c r="O14" s="4"/>
      <c r="P14" s="4"/>
      <c r="Q14" s="3"/>
      <c r="R14" s="3"/>
      <c r="S14" s="4"/>
      <c r="T14" s="4"/>
      <c r="U14" s="4"/>
      <c r="V14" s="3"/>
      <c r="W14" s="3"/>
      <c r="X14" s="4"/>
    </row>
    <row r="15" spans="2:24" s="2" customFormat="1" ht="18" customHeight="1">
      <c r="B15" s="110" t="s">
        <v>25</v>
      </c>
      <c r="C15" s="108">
        <v>0.2</v>
      </c>
      <c r="D15" s="108">
        <v>0.1</v>
      </c>
      <c r="E15" s="108">
        <v>0.1</v>
      </c>
      <c r="F15" s="108">
        <v>0.1</v>
      </c>
      <c r="G15" s="108">
        <v>0.3</v>
      </c>
      <c r="H15" s="108">
        <v>0</v>
      </c>
      <c r="I15" s="108">
        <v>0.2</v>
      </c>
      <c r="J15" s="108" t="s">
        <v>26</v>
      </c>
      <c r="K15" s="108"/>
      <c r="L15" s="3"/>
      <c r="M15" s="3"/>
      <c r="N15" s="4"/>
      <c r="O15" s="4"/>
      <c r="P15" s="4"/>
      <c r="Q15" s="3"/>
      <c r="R15" s="3"/>
      <c r="S15" s="4"/>
      <c r="T15" s="4"/>
      <c r="U15" s="4"/>
      <c r="V15" s="3"/>
      <c r="W15" s="3"/>
      <c r="X15" s="4"/>
    </row>
    <row r="16" spans="2:24" s="2" customFormat="1" ht="18" customHeight="1">
      <c r="B16" s="110" t="s">
        <v>27</v>
      </c>
      <c r="C16" s="108">
        <v>13</v>
      </c>
      <c r="D16" s="111">
        <v>13</v>
      </c>
      <c r="E16" s="111">
        <v>13</v>
      </c>
      <c r="F16" s="111">
        <f>$C$16+($C$16*Uncertanties!I3)</f>
        <v>4.3333333333333321</v>
      </c>
      <c r="G16" s="111">
        <f>$C$16+($C$16*Uncertanties!J3)</f>
        <v>21.797979797979799</v>
      </c>
      <c r="H16" s="111">
        <f>$D$16+($D$16*Uncertanties!I3)</f>
        <v>4.3333333333333321</v>
      </c>
      <c r="I16" s="111">
        <f>$D$16+($D$16*Uncertanties!J3)</f>
        <v>21.797979797979799</v>
      </c>
      <c r="J16" s="108" t="s">
        <v>28</v>
      </c>
      <c r="K16" s="108" t="s">
        <v>118</v>
      </c>
      <c r="L16" s="3"/>
      <c r="M16" s="3"/>
      <c r="N16" s="4"/>
      <c r="O16" s="4"/>
      <c r="P16" s="4"/>
      <c r="Q16" s="3"/>
      <c r="R16" s="3"/>
      <c r="S16" s="4"/>
      <c r="T16" s="4"/>
      <c r="U16" s="4"/>
      <c r="V16" s="3"/>
      <c r="W16" s="3"/>
      <c r="X16" s="4"/>
    </row>
    <row r="17" spans="2:24" s="2" customFormat="1" ht="18" customHeight="1">
      <c r="B17" s="110" t="s">
        <v>29</v>
      </c>
      <c r="C17" s="108">
        <v>1</v>
      </c>
      <c r="D17" s="108">
        <v>1</v>
      </c>
      <c r="E17" s="108">
        <v>1</v>
      </c>
      <c r="F17" s="108">
        <v>1</v>
      </c>
      <c r="G17" s="108">
        <v>1</v>
      </c>
      <c r="H17" s="108">
        <v>1</v>
      </c>
      <c r="I17" s="108">
        <v>1</v>
      </c>
      <c r="J17" s="108"/>
      <c r="K17" s="108" t="s">
        <v>30</v>
      </c>
      <c r="L17" s="3"/>
      <c r="M17" s="3"/>
      <c r="N17" s="4"/>
      <c r="O17" s="4"/>
      <c r="P17" s="4"/>
      <c r="Q17" s="3"/>
      <c r="R17" s="3"/>
      <c r="S17" s="4"/>
      <c r="T17" s="4"/>
      <c r="U17" s="4"/>
      <c r="V17" s="3"/>
      <c r="W17" s="3"/>
      <c r="X17" s="4"/>
    </row>
    <row r="18" spans="2:24" s="2" customFormat="1" ht="18" customHeight="1">
      <c r="B18" s="114" t="s">
        <v>46</v>
      </c>
      <c r="C18" s="108">
        <f>ROUND(Data!F22,-2)</f>
        <v>1900</v>
      </c>
      <c r="D18" s="108">
        <f>ROUND(Data!H22,-2)</f>
        <v>3200</v>
      </c>
      <c r="E18" s="111">
        <f>ROUND(Data!J22,-2)</f>
        <v>9600</v>
      </c>
      <c r="F18" s="111">
        <f>ROUND(311,-2)</f>
        <v>300</v>
      </c>
      <c r="G18" s="111">
        <f>ROUND(3111,-2)</f>
        <v>3100</v>
      </c>
      <c r="H18" s="108">
        <f>ROUND(F18/$C18*$D18,-3)</f>
        <v>1000</v>
      </c>
      <c r="I18" s="108">
        <f>ROUND(G18/$C18*$D18,-3)</f>
        <v>5000</v>
      </c>
      <c r="J18" s="108"/>
      <c r="K18" s="108" t="s">
        <v>13</v>
      </c>
      <c r="L18" s="3"/>
      <c r="M18" s="3"/>
      <c r="N18" s="4"/>
      <c r="O18" s="4"/>
      <c r="P18" s="4"/>
      <c r="Q18" s="3"/>
      <c r="R18" s="3"/>
      <c r="S18" s="4"/>
      <c r="T18" s="4"/>
      <c r="U18" s="4"/>
      <c r="V18" s="3"/>
      <c r="W18" s="3"/>
      <c r="X18" s="4"/>
    </row>
    <row r="19" spans="2:24" s="2" customFormat="1" ht="18" customHeight="1">
      <c r="B19" s="107" t="s">
        <v>31</v>
      </c>
      <c r="C19" s="107"/>
      <c r="D19" s="107"/>
      <c r="E19" s="107"/>
      <c r="F19" s="107"/>
      <c r="G19" s="107"/>
      <c r="H19" s="107"/>
      <c r="I19" s="107"/>
      <c r="J19" s="107"/>
      <c r="K19" s="107"/>
      <c r="L19" s="3"/>
      <c r="M19" s="3"/>
      <c r="N19" s="4"/>
      <c r="O19" s="4"/>
      <c r="P19" s="4"/>
      <c r="Q19" s="3"/>
      <c r="R19" s="3"/>
      <c r="S19" s="4"/>
      <c r="T19" s="4"/>
      <c r="U19" s="4"/>
      <c r="V19" s="3"/>
      <c r="W19" s="3"/>
      <c r="X19" s="4"/>
    </row>
    <row r="20" spans="2:24" s="2" customFormat="1" ht="18" customHeight="1">
      <c r="B20" s="110" t="s">
        <v>32</v>
      </c>
      <c r="C20" s="108">
        <v>1E-3</v>
      </c>
      <c r="D20" s="108">
        <v>1E-3</v>
      </c>
      <c r="E20" s="108">
        <v>1E-3</v>
      </c>
      <c r="F20" s="108">
        <v>1E-3</v>
      </c>
      <c r="G20" s="108">
        <v>1E-3</v>
      </c>
      <c r="H20" s="108">
        <v>1E-3</v>
      </c>
      <c r="I20" s="108">
        <v>1E-3</v>
      </c>
      <c r="J20" s="108" t="s">
        <v>33</v>
      </c>
      <c r="K20" s="108"/>
      <c r="L20" s="3"/>
      <c r="M20" s="3"/>
      <c r="N20" s="4"/>
      <c r="O20" s="4"/>
      <c r="P20" s="4"/>
      <c r="Q20" s="3"/>
      <c r="R20" s="3"/>
      <c r="S20" s="4"/>
      <c r="T20" s="4"/>
      <c r="U20" s="4"/>
      <c r="V20" s="3"/>
      <c r="W20" s="3"/>
      <c r="X20" s="4"/>
    </row>
    <row r="21" spans="2:24" s="2" customFormat="1" ht="18" customHeight="1">
      <c r="B21" s="110" t="s">
        <v>34</v>
      </c>
      <c r="C21" s="108">
        <v>1E-3</v>
      </c>
      <c r="D21" s="108">
        <v>1E-3</v>
      </c>
      <c r="E21" s="108">
        <v>1E-3</v>
      </c>
      <c r="F21" s="108">
        <v>1E-3</v>
      </c>
      <c r="G21" s="108">
        <v>1E-3</v>
      </c>
      <c r="H21" s="108">
        <v>1E-3</v>
      </c>
      <c r="I21" s="108">
        <v>1E-3</v>
      </c>
      <c r="J21" s="108"/>
      <c r="K21" s="108" t="s">
        <v>35</v>
      </c>
      <c r="L21" s="3"/>
      <c r="M21" s="3"/>
      <c r="N21" s="4"/>
      <c r="O21" s="4"/>
      <c r="P21" s="4"/>
      <c r="Q21" s="3"/>
      <c r="R21" s="3"/>
      <c r="S21" s="4"/>
      <c r="T21" s="4"/>
      <c r="U21" s="4"/>
      <c r="V21" s="3"/>
      <c r="W21" s="3"/>
      <c r="X21" s="4"/>
    </row>
    <row r="22" spans="2:24" s="2" customFormat="1" ht="18" customHeight="1">
      <c r="B22" s="107" t="s">
        <v>36</v>
      </c>
      <c r="C22" s="107"/>
      <c r="D22" s="107"/>
      <c r="E22" s="107"/>
      <c r="F22" s="107"/>
      <c r="G22" s="107"/>
      <c r="H22" s="107"/>
      <c r="I22" s="107"/>
      <c r="J22" s="107"/>
      <c r="K22" s="107"/>
      <c r="L22" s="3"/>
      <c r="M22" s="3"/>
      <c r="N22" s="4"/>
      <c r="O22" s="4"/>
      <c r="P22" s="4"/>
      <c r="Q22" s="3"/>
      <c r="R22" s="3"/>
      <c r="S22" s="4"/>
      <c r="T22" s="4"/>
      <c r="U22" s="4"/>
      <c r="V22" s="3"/>
      <c r="W22" s="3"/>
      <c r="X22" s="4"/>
    </row>
    <row r="23" spans="2:24" s="2" customFormat="1" ht="18" customHeight="1">
      <c r="B23" s="110" t="s">
        <v>37</v>
      </c>
      <c r="C23" s="115">
        <f>((C24+C26)*C7+C25*C8)/C7</f>
        <v>0.55349999999999999</v>
      </c>
      <c r="D23" s="115">
        <f t="shared" ref="D23:I23" si="3">((D24+D26)*D7+D25*D8)/D7</f>
        <v>0.33224014084507048</v>
      </c>
      <c r="E23" s="115">
        <f t="shared" si="3"/>
        <v>0.11983568400954078</v>
      </c>
      <c r="F23" s="115">
        <f t="shared" si="3"/>
        <v>0.38488749999999999</v>
      </c>
      <c r="G23" s="115">
        <f t="shared" si="3"/>
        <v>0.76441250000000005</v>
      </c>
      <c r="H23" s="115">
        <f t="shared" si="3"/>
        <v>0.23008952464788734</v>
      </c>
      <c r="I23" s="115">
        <f t="shared" si="3"/>
        <v>0.46069075704225354</v>
      </c>
      <c r="J23" s="108"/>
      <c r="K23" s="108"/>
      <c r="L23" s="3"/>
      <c r="M23" s="3"/>
      <c r="N23" s="4"/>
      <c r="O23" s="4"/>
      <c r="P23" s="4"/>
      <c r="Q23" s="3"/>
      <c r="R23" s="3"/>
      <c r="S23" s="4"/>
      <c r="T23" s="4"/>
      <c r="U23" s="4"/>
      <c r="V23" s="3"/>
      <c r="W23" s="3"/>
      <c r="X23" s="4"/>
    </row>
    <row r="24" spans="2:24" s="2" customFormat="1" ht="18" customHeight="1">
      <c r="B24" s="110" t="s">
        <v>39</v>
      </c>
      <c r="C24" s="115">
        <v>0.216</v>
      </c>
      <c r="D24" s="116">
        <f>Data!H17</f>
        <v>0.1318</v>
      </c>
      <c r="E24" s="116">
        <f>Data!J17</f>
        <v>4.9222953614367432E-2</v>
      </c>
      <c r="F24" s="115">
        <v>8.6199999999999999E-2</v>
      </c>
      <c r="G24" s="115">
        <v>0.3881</v>
      </c>
      <c r="H24" s="115">
        <v>5.2699999999999997E-2</v>
      </c>
      <c r="I24" s="115">
        <v>0.23719999999999999</v>
      </c>
      <c r="J24" s="108" t="s">
        <v>38</v>
      </c>
      <c r="K24" s="108" t="s">
        <v>13</v>
      </c>
      <c r="L24" s="3"/>
      <c r="M24" s="3"/>
      <c r="N24" s="4"/>
      <c r="O24" s="4"/>
      <c r="P24" s="4"/>
      <c r="Q24" s="4"/>
      <c r="R24" s="4"/>
      <c r="S24" s="4"/>
      <c r="T24" s="4"/>
      <c r="U24" s="4"/>
      <c r="V24" s="4"/>
      <c r="W24" s="4"/>
      <c r="X24" s="4"/>
    </row>
    <row r="25" spans="2:24" ht="18" customHeight="1">
      <c r="B25" s="110" t="s">
        <v>41</v>
      </c>
      <c r="C25" s="115">
        <v>0.67500000000000004</v>
      </c>
      <c r="D25" s="116">
        <f>Data!O18</f>
        <v>0.40088028169014089</v>
      </c>
      <c r="E25" s="116">
        <f>Data!P18</f>
        <v>0.14122546079034673</v>
      </c>
      <c r="F25" s="115">
        <f>C25-(C25*0.115)</f>
        <v>0.59737499999999999</v>
      </c>
      <c r="G25" s="115">
        <f>C25+(C25*0.115)</f>
        <v>0.7526250000000001</v>
      </c>
      <c r="H25" s="115">
        <f>$D$25-($D$25*0.115)</f>
        <v>0.3547790492957747</v>
      </c>
      <c r="I25" s="115">
        <f>$D$25+($D$25*0.115)</f>
        <v>0.44698151408450709</v>
      </c>
      <c r="J25" s="108" t="s">
        <v>40</v>
      </c>
      <c r="K25" s="108" t="s">
        <v>89</v>
      </c>
      <c r="L25" s="3"/>
      <c r="M25" s="3"/>
      <c r="N25" s="4"/>
      <c r="O25" s="4"/>
      <c r="P25" s="4"/>
      <c r="Q25" s="3"/>
      <c r="R25" s="3"/>
      <c r="S25" s="4"/>
      <c r="T25" s="4"/>
      <c r="U25" s="4"/>
      <c r="V25" s="3"/>
      <c r="W25" s="3"/>
      <c r="X25" s="4"/>
    </row>
    <row r="26" spans="2:24" ht="18" customHeight="1">
      <c r="B26" s="110" t="s">
        <v>43</v>
      </c>
      <c r="C26" s="117">
        <v>0</v>
      </c>
      <c r="D26" s="117">
        <v>0</v>
      </c>
      <c r="E26" s="117">
        <v>0</v>
      </c>
      <c r="F26" s="117">
        <v>0</v>
      </c>
      <c r="G26" s="117">
        <v>0</v>
      </c>
      <c r="H26" s="117">
        <v>0</v>
      </c>
      <c r="I26" s="117">
        <v>0</v>
      </c>
      <c r="J26" s="108"/>
      <c r="K26" s="108"/>
      <c r="L26" s="3"/>
      <c r="M26" s="3"/>
      <c r="N26" s="4"/>
      <c r="O26" s="4"/>
      <c r="P26" s="4"/>
      <c r="Q26" s="3"/>
      <c r="R26" s="3"/>
      <c r="S26" s="4"/>
      <c r="T26" s="4"/>
      <c r="U26" s="4"/>
      <c r="V26" s="3"/>
      <c r="W26" s="3"/>
      <c r="X26" s="4"/>
    </row>
    <row r="27" spans="2:24" ht="18" customHeight="1">
      <c r="B27" s="110" t="s">
        <v>88</v>
      </c>
      <c r="C27" s="118">
        <f>3.4*1.11</f>
        <v>3.774</v>
      </c>
      <c r="D27" s="118">
        <f t="shared" ref="D27:E27" si="4">3.4*1.11</f>
        <v>3.774</v>
      </c>
      <c r="E27" s="118">
        <f t="shared" si="4"/>
        <v>3.774</v>
      </c>
      <c r="F27" s="118">
        <f>3.2*1.11</f>
        <v>3.5520000000000005</v>
      </c>
      <c r="G27" s="117">
        <f>13*1.11</f>
        <v>14.430000000000001</v>
      </c>
      <c r="H27" s="118">
        <f>F27</f>
        <v>3.5520000000000005</v>
      </c>
      <c r="I27" s="117">
        <f>G27</f>
        <v>14.430000000000001</v>
      </c>
      <c r="J27" s="108"/>
      <c r="K27" s="108" t="s">
        <v>62</v>
      </c>
      <c r="L27" s="3"/>
      <c r="M27" s="3"/>
      <c r="N27" s="4"/>
      <c r="O27" s="4"/>
      <c r="P27" s="4"/>
      <c r="Q27" s="3"/>
      <c r="R27" s="3"/>
      <c r="S27" s="4"/>
      <c r="T27" s="4"/>
      <c r="U27" s="4"/>
      <c r="V27" s="3"/>
      <c r="W27" s="3"/>
      <c r="X27" s="4"/>
    </row>
    <row r="28" spans="2:24" ht="18" customHeight="1">
      <c r="B28" s="110" t="s">
        <v>69</v>
      </c>
      <c r="C28" s="118">
        <f>0.37*1.11</f>
        <v>0.41070000000000001</v>
      </c>
      <c r="D28" s="118">
        <f t="shared" ref="D28:E28" si="5">0.37*1.11</f>
        <v>0.41070000000000001</v>
      </c>
      <c r="E28" s="118">
        <f t="shared" si="5"/>
        <v>0.41070000000000001</v>
      </c>
      <c r="F28" s="118">
        <f>0.15*1.11</f>
        <v>0.16650000000000001</v>
      </c>
      <c r="G28" s="118">
        <f>0.52*1.11</f>
        <v>0.57720000000000005</v>
      </c>
      <c r="H28" s="118">
        <f>F28</f>
        <v>0.16650000000000001</v>
      </c>
      <c r="I28" s="118">
        <f>G28</f>
        <v>0.57720000000000005</v>
      </c>
      <c r="J28" s="108"/>
      <c r="K28" s="108" t="s">
        <v>62</v>
      </c>
      <c r="L28" s="3"/>
      <c r="M28" s="3"/>
      <c r="N28" s="4"/>
      <c r="O28" s="4"/>
      <c r="P28" s="4"/>
      <c r="Q28" s="3"/>
      <c r="R28" s="3"/>
      <c r="S28" s="4"/>
      <c r="T28" s="4"/>
      <c r="U28" s="4"/>
      <c r="V28" s="3"/>
      <c r="W28" s="3"/>
      <c r="X28" s="4"/>
    </row>
    <row r="29" spans="2:24" ht="18" customHeight="1">
      <c r="B29" s="107" t="s">
        <v>44</v>
      </c>
      <c r="C29" s="107"/>
      <c r="D29" s="107"/>
      <c r="E29" s="107"/>
      <c r="F29" s="107"/>
      <c r="G29" s="107"/>
      <c r="H29" s="107"/>
      <c r="I29" s="107"/>
      <c r="J29" s="107"/>
      <c r="K29" s="107"/>
      <c r="L29" s="3"/>
      <c r="M29" s="3"/>
      <c r="N29" s="4"/>
      <c r="O29" s="4"/>
      <c r="P29" s="4"/>
      <c r="Q29" s="3"/>
      <c r="R29" s="3"/>
      <c r="S29" s="4"/>
      <c r="T29" s="4"/>
      <c r="U29" s="4"/>
      <c r="V29" s="3"/>
      <c r="W29" s="3"/>
      <c r="X29" s="4"/>
    </row>
    <row r="30" spans="2:24" ht="18" customHeight="1">
      <c r="B30" s="110" t="s">
        <v>45</v>
      </c>
      <c r="C30" s="115">
        <f>(C24*C7+C25*C8)/C8</f>
        <v>1.107</v>
      </c>
      <c r="D30" s="115">
        <f t="shared" ref="D30:I30" si="6">(D24*D7+D25*D8)/D8</f>
        <v>0.66448028169014095</v>
      </c>
      <c r="E30" s="115">
        <f t="shared" si="6"/>
        <v>0.23967136801908157</v>
      </c>
      <c r="F30" s="115">
        <f t="shared" si="6"/>
        <v>0.76977499999999999</v>
      </c>
      <c r="G30" s="115">
        <f t="shared" si="6"/>
        <v>1.5288250000000001</v>
      </c>
      <c r="H30" s="115">
        <f>(H24*H7+H25*H8)/H8</f>
        <v>0.46017904929577469</v>
      </c>
      <c r="I30" s="115">
        <f t="shared" si="6"/>
        <v>0.92138151408450708</v>
      </c>
      <c r="J30" s="108"/>
      <c r="K30" s="108"/>
      <c r="L30" s="3"/>
      <c r="M30" s="3"/>
      <c r="N30" s="4"/>
      <c r="O30" s="4"/>
      <c r="P30" s="4"/>
      <c r="Q30" s="3"/>
      <c r="R30" s="3"/>
      <c r="S30" s="4"/>
      <c r="T30" s="4"/>
      <c r="U30" s="4"/>
      <c r="V30" s="3"/>
      <c r="W30" s="3"/>
      <c r="X30" s="4"/>
    </row>
    <row r="31" spans="2:24" ht="18" customHeight="1">
      <c r="B31" s="110" t="s">
        <v>48</v>
      </c>
      <c r="C31" s="111">
        <f t="shared" ref="C31:E32" si="7">C33/($C$7/$C$8)</f>
        <v>22.232142857142858</v>
      </c>
      <c r="D31" s="111">
        <f t="shared" si="7"/>
        <v>29.642857142857142</v>
      </c>
      <c r="E31" s="111">
        <f t="shared" si="7"/>
        <v>52.704875919266385</v>
      </c>
      <c r="F31" s="111">
        <f t="shared" ref="F31:I31" si="8">F33/($C$7/$C$8)</f>
        <v>14.626409774436091</v>
      </c>
      <c r="G31" s="111">
        <f t="shared" si="8"/>
        <v>29.252819548872182</v>
      </c>
      <c r="H31" s="111">
        <f t="shared" si="8"/>
        <v>23.714285714285715</v>
      </c>
      <c r="I31" s="111">
        <f t="shared" si="8"/>
        <v>35.571428571428569</v>
      </c>
      <c r="J31" s="108" t="s">
        <v>42</v>
      </c>
      <c r="K31" s="108" t="s">
        <v>192</v>
      </c>
      <c r="L31" s="3"/>
      <c r="M31" s="3"/>
      <c r="N31" s="4"/>
      <c r="O31" s="4"/>
      <c r="P31" s="4"/>
      <c r="Q31" s="3"/>
      <c r="R31" s="3"/>
      <c r="S31" s="4"/>
      <c r="T31" s="4"/>
      <c r="U31" s="4"/>
      <c r="V31" s="3"/>
      <c r="W31" s="3"/>
      <c r="X31" s="4"/>
    </row>
    <row r="32" spans="2:24" ht="18" customHeight="1">
      <c r="B32" s="110" t="s">
        <v>87</v>
      </c>
      <c r="C32" s="111">
        <f t="shared" si="7"/>
        <v>55.606869703948142</v>
      </c>
      <c r="D32" s="111">
        <f t="shared" si="7"/>
        <v>108.43339592269888</v>
      </c>
      <c r="E32" s="111">
        <f t="shared" si="7"/>
        <v>214.08644836020036</v>
      </c>
      <c r="F32" s="111">
        <f t="shared" ref="F32:I32" si="9">F34/($C$7/$C$8)</f>
        <v>33.364121822368887</v>
      </c>
      <c r="G32" s="111">
        <f t="shared" si="9"/>
        <v>77.849617585527398</v>
      </c>
      <c r="H32" s="111">
        <f t="shared" si="9"/>
        <v>77.849617585527398</v>
      </c>
      <c r="I32" s="111">
        <f t="shared" si="9"/>
        <v>139.01717425987033</v>
      </c>
      <c r="J32" s="108" t="s">
        <v>42</v>
      </c>
      <c r="K32" s="108" t="s">
        <v>192</v>
      </c>
      <c r="L32" s="3"/>
      <c r="M32" s="3"/>
      <c r="N32" s="4"/>
      <c r="O32" s="4"/>
      <c r="P32" s="4"/>
      <c r="Q32" s="3"/>
      <c r="R32" s="3"/>
      <c r="S32" s="4"/>
      <c r="T32" s="4"/>
      <c r="U32" s="4"/>
      <c r="V32" s="3"/>
      <c r="W32" s="3"/>
      <c r="X32" s="4"/>
    </row>
    <row r="33" spans="2:24" ht="18" customHeight="1">
      <c r="B33" s="110" t="s">
        <v>49</v>
      </c>
      <c r="C33" s="111">
        <f>(Data!$D$36*1000)/Data!D34</f>
        <v>44.464285714285715</v>
      </c>
      <c r="D33" s="111">
        <f>Data!O25</f>
        <v>59.285714285714285</v>
      </c>
      <c r="E33" s="111">
        <f>Data!P25</f>
        <v>105.40975183853277</v>
      </c>
      <c r="F33" s="111">
        <f>$C$33*(1+Uncertanties!I4)</f>
        <v>29.252819548872182</v>
      </c>
      <c r="G33" s="111">
        <f>$C$33*(1+Uncertanties!J4)</f>
        <v>58.505639097744364</v>
      </c>
      <c r="H33" s="111">
        <f>$D$33*(1+Uncertanties!K4)</f>
        <v>47.428571428571431</v>
      </c>
      <c r="I33" s="111">
        <f>$D$33*(1+Uncertanties!L4)</f>
        <v>71.142857142857139</v>
      </c>
      <c r="J33" s="108" t="s">
        <v>42</v>
      </c>
      <c r="K33" s="108" t="s">
        <v>192</v>
      </c>
      <c r="L33" s="3"/>
      <c r="M33" s="3"/>
      <c r="N33" s="4"/>
      <c r="O33" s="4"/>
      <c r="P33" s="4"/>
      <c r="Q33" s="3"/>
      <c r="R33" s="3"/>
      <c r="S33" s="4"/>
      <c r="T33" s="4"/>
      <c r="U33" s="4"/>
      <c r="V33" s="3"/>
      <c r="W33" s="3"/>
      <c r="X33" s="4"/>
    </row>
    <row r="34" spans="2:24" ht="18" customHeight="1">
      <c r="B34" s="110" t="s">
        <v>85</v>
      </c>
      <c r="C34" s="111">
        <f>(Data!$D$36)/Data!D35</f>
        <v>111.21373940789628</v>
      </c>
      <c r="D34" s="111">
        <f>Data!O26</f>
        <v>216.86679184539776</v>
      </c>
      <c r="E34" s="111">
        <f>Data!P26</f>
        <v>428.17289672040073</v>
      </c>
      <c r="F34" s="111">
        <f>$C$34*(1+Uncertanties!I5)</f>
        <v>66.728243644737773</v>
      </c>
      <c r="G34" s="111">
        <f>$C$34*(1+Uncertanties!J5)</f>
        <v>155.6992351710548</v>
      </c>
      <c r="H34" s="111">
        <f>$D$34*(1+Uncertanties!K5)</f>
        <v>155.6992351710548</v>
      </c>
      <c r="I34" s="111">
        <f>$D$34*(1+Uncertanties!L5)</f>
        <v>278.03434851974066</v>
      </c>
      <c r="J34" s="108" t="s">
        <v>42</v>
      </c>
      <c r="K34" s="108" t="s">
        <v>192</v>
      </c>
      <c r="L34" s="3"/>
      <c r="M34" s="3"/>
      <c r="N34" s="4"/>
      <c r="O34" s="4"/>
      <c r="P34" s="4"/>
      <c r="Q34" s="3"/>
      <c r="R34" s="3"/>
      <c r="S34" s="4"/>
      <c r="T34" s="4"/>
      <c r="U34" s="4"/>
      <c r="V34" s="3"/>
      <c r="W34" s="3"/>
      <c r="X34" s="4"/>
    </row>
    <row r="35" spans="2:24" ht="18.75" customHeight="1">
      <c r="B35" s="2"/>
      <c r="C35" s="2"/>
      <c r="D35" s="2"/>
      <c r="E35" s="2"/>
      <c r="F35" s="2"/>
      <c r="G35" s="2"/>
      <c r="H35" s="2"/>
      <c r="I35" s="2"/>
      <c r="J35" s="2"/>
      <c r="K35" s="2"/>
      <c r="M35" s="2"/>
      <c r="N35" s="2"/>
      <c r="O35" s="2"/>
      <c r="P35" s="2"/>
      <c r="Q35" s="2"/>
      <c r="R35" s="2"/>
      <c r="S35" s="2"/>
      <c r="T35" s="2"/>
      <c r="U35" s="2"/>
      <c r="V35" s="2"/>
      <c r="W35" s="2"/>
      <c r="X35" s="2"/>
    </row>
    <row r="36" spans="2:24">
      <c r="B36" s="19" t="s">
        <v>50</v>
      </c>
      <c r="C36" s="20"/>
      <c r="D36" s="20"/>
      <c r="E36" s="21"/>
      <c r="F36" s="21"/>
      <c r="G36" s="21"/>
      <c r="H36" s="6"/>
      <c r="I36" s="6"/>
      <c r="J36" s="6"/>
      <c r="K36" s="7"/>
      <c r="L36" s="8"/>
      <c r="M36" s="12"/>
      <c r="N36" s="12"/>
      <c r="O36" s="12"/>
      <c r="P36" s="12"/>
      <c r="Q36" s="12"/>
      <c r="R36" s="12"/>
      <c r="S36" s="12"/>
      <c r="T36" s="12"/>
      <c r="U36" s="12"/>
      <c r="V36" s="13"/>
    </row>
    <row r="37" spans="2:24">
      <c r="B37" s="22" t="s">
        <v>16</v>
      </c>
      <c r="C37" s="20" t="s">
        <v>51</v>
      </c>
      <c r="D37" s="20"/>
      <c r="E37" s="21"/>
      <c r="F37" s="21"/>
      <c r="G37" s="21"/>
      <c r="H37" s="6"/>
      <c r="I37" s="6"/>
      <c r="J37" s="6"/>
      <c r="K37" s="7"/>
      <c r="L37" s="8"/>
      <c r="M37" s="12"/>
      <c r="N37" s="12"/>
      <c r="O37" s="12"/>
      <c r="P37" s="12"/>
      <c r="Q37" s="12"/>
      <c r="R37" s="12"/>
      <c r="S37" s="12"/>
      <c r="T37" s="12"/>
      <c r="U37" s="12"/>
      <c r="V37" s="13"/>
    </row>
    <row r="38" spans="2:24">
      <c r="B38" s="22" t="s">
        <v>18</v>
      </c>
      <c r="C38" s="20" t="s">
        <v>52</v>
      </c>
      <c r="D38" s="20"/>
      <c r="E38" s="21"/>
      <c r="F38" s="21"/>
      <c r="G38" s="21"/>
      <c r="H38" s="6"/>
      <c r="I38" s="6"/>
      <c r="J38" s="6"/>
      <c r="K38" s="7"/>
      <c r="L38" s="9"/>
      <c r="M38" s="12"/>
      <c r="N38" s="12"/>
      <c r="O38" s="12"/>
      <c r="P38" s="12"/>
      <c r="Q38" s="12"/>
      <c r="R38" s="12"/>
      <c r="S38" s="12"/>
      <c r="T38" s="12"/>
      <c r="U38" s="12"/>
      <c r="V38" s="13"/>
    </row>
    <row r="39" spans="2:24">
      <c r="B39" s="22" t="s">
        <v>24</v>
      </c>
      <c r="C39" s="20" t="s">
        <v>53</v>
      </c>
      <c r="D39" s="20"/>
      <c r="E39" s="23"/>
      <c r="F39" s="23"/>
      <c r="G39" s="23"/>
      <c r="H39" s="10"/>
      <c r="I39" s="10"/>
      <c r="J39" s="10"/>
      <c r="K39" s="10"/>
      <c r="L39" s="11"/>
      <c r="M39" s="12"/>
      <c r="N39" s="12"/>
      <c r="O39" s="12"/>
      <c r="P39" s="12"/>
      <c r="Q39" s="12"/>
      <c r="R39" s="12"/>
      <c r="S39" s="12"/>
      <c r="T39" s="12"/>
      <c r="U39" s="12"/>
      <c r="V39" s="13"/>
    </row>
    <row r="40" spans="2:24">
      <c r="B40" s="22" t="s">
        <v>26</v>
      </c>
      <c r="C40" s="20" t="s">
        <v>54</v>
      </c>
      <c r="D40" s="20"/>
      <c r="E40" s="23"/>
      <c r="F40" s="23"/>
      <c r="G40" s="23"/>
      <c r="H40" s="10"/>
      <c r="I40" s="10"/>
      <c r="J40" s="10"/>
      <c r="K40" s="10"/>
      <c r="L40" s="11"/>
      <c r="M40" s="12"/>
      <c r="N40" s="12"/>
      <c r="O40" s="12"/>
      <c r="P40" s="12"/>
      <c r="Q40" s="12"/>
      <c r="R40" s="12"/>
      <c r="S40" s="12"/>
      <c r="T40" s="12"/>
      <c r="U40" s="12"/>
      <c r="V40" s="13"/>
    </row>
    <row r="41" spans="2:24">
      <c r="B41" s="22" t="s">
        <v>33</v>
      </c>
      <c r="C41" s="20" t="s">
        <v>55</v>
      </c>
      <c r="D41" s="20"/>
      <c r="E41" s="23"/>
      <c r="F41" s="23"/>
      <c r="G41" s="23"/>
      <c r="H41" s="10"/>
      <c r="I41" s="10"/>
      <c r="J41" s="10"/>
      <c r="K41" s="10"/>
      <c r="L41" s="7"/>
      <c r="M41" s="12"/>
      <c r="N41" s="12"/>
      <c r="O41" s="12"/>
      <c r="P41" s="12"/>
      <c r="Q41" s="12"/>
      <c r="R41" s="12"/>
      <c r="S41" s="12"/>
      <c r="T41" s="12"/>
      <c r="U41" s="12"/>
      <c r="V41" s="13"/>
    </row>
    <row r="42" spans="2:24">
      <c r="B42" s="22" t="s">
        <v>38</v>
      </c>
      <c r="C42" s="24" t="s">
        <v>56</v>
      </c>
      <c r="D42" s="20"/>
      <c r="E42" s="20"/>
      <c r="F42" s="20"/>
      <c r="G42" s="20"/>
      <c r="H42" s="10"/>
      <c r="I42" s="10"/>
      <c r="J42" s="10"/>
      <c r="K42" s="10"/>
      <c r="L42" s="7"/>
      <c r="M42" s="12"/>
      <c r="N42" s="12"/>
      <c r="O42" s="12"/>
      <c r="P42" s="12"/>
      <c r="Q42" s="12"/>
      <c r="R42" s="12"/>
      <c r="S42" s="12"/>
      <c r="T42" s="12"/>
      <c r="U42" s="12"/>
      <c r="V42" s="13"/>
    </row>
    <row r="43" spans="2:24">
      <c r="B43" s="22" t="s">
        <v>40</v>
      </c>
      <c r="C43" s="24" t="s">
        <v>90</v>
      </c>
      <c r="D43" s="20"/>
      <c r="E43" s="20"/>
      <c r="F43" s="20"/>
      <c r="G43" s="20"/>
      <c r="H43" s="10"/>
      <c r="I43" s="10"/>
      <c r="J43" s="10"/>
      <c r="K43" s="10"/>
      <c r="L43" s="7"/>
      <c r="M43" s="12"/>
      <c r="N43" s="12"/>
      <c r="O43" s="12"/>
      <c r="P43" s="12"/>
      <c r="Q43" s="12"/>
      <c r="R43" s="12"/>
      <c r="S43" s="12"/>
      <c r="T43" s="12"/>
      <c r="U43" s="12"/>
      <c r="V43" s="13"/>
    </row>
    <row r="44" spans="2:24">
      <c r="B44" s="22" t="s">
        <v>42</v>
      </c>
      <c r="C44" s="24" t="s">
        <v>86</v>
      </c>
      <c r="D44" s="20"/>
      <c r="E44" s="23"/>
      <c r="F44" s="23"/>
      <c r="G44" s="23"/>
      <c r="H44" s="10"/>
      <c r="I44" s="10"/>
      <c r="J44" s="10"/>
      <c r="K44" s="10"/>
      <c r="L44" s="7"/>
      <c r="M44" s="12"/>
      <c r="N44" s="12"/>
      <c r="O44" s="12"/>
      <c r="P44" s="12"/>
      <c r="Q44" s="12"/>
      <c r="R44" s="12"/>
      <c r="S44" s="12"/>
      <c r="T44" s="12"/>
      <c r="U44" s="12"/>
      <c r="V44" s="13"/>
    </row>
    <row r="45" spans="2:24">
      <c r="B45" s="20"/>
      <c r="C45" s="20"/>
      <c r="D45" s="25"/>
      <c r="E45" s="25"/>
      <c r="F45" s="25"/>
      <c r="G45" s="25"/>
      <c r="H45" s="14"/>
      <c r="I45" s="14"/>
      <c r="J45" s="14"/>
      <c r="K45" s="14"/>
      <c r="L45" s="7"/>
      <c r="M45" s="12"/>
      <c r="N45" s="12"/>
      <c r="O45" s="12"/>
      <c r="P45" s="12"/>
      <c r="Q45" s="12"/>
      <c r="R45" s="12"/>
      <c r="S45" s="12"/>
      <c r="T45" s="12"/>
      <c r="U45" s="12"/>
      <c r="V45" s="13"/>
    </row>
    <row r="46" spans="2:24" ht="15" customHeight="1">
      <c r="B46" s="26" t="s">
        <v>57</v>
      </c>
      <c r="C46" s="27"/>
      <c r="D46" s="28"/>
      <c r="E46" s="25"/>
      <c r="F46" s="25"/>
      <c r="G46" s="25"/>
      <c r="H46" s="8"/>
      <c r="I46" s="8"/>
      <c r="J46" s="8"/>
      <c r="K46" s="8"/>
      <c r="L46" s="7"/>
      <c r="M46" s="12"/>
      <c r="N46" s="12"/>
      <c r="O46" s="12"/>
      <c r="P46" s="12"/>
      <c r="Q46" s="12"/>
      <c r="R46" s="12"/>
      <c r="S46" s="12"/>
      <c r="T46" s="12"/>
      <c r="U46" s="12"/>
      <c r="V46" s="13"/>
    </row>
    <row r="47" spans="2:24">
      <c r="B47" s="29" t="s">
        <v>13</v>
      </c>
      <c r="C47" s="30" t="s">
        <v>58</v>
      </c>
      <c r="D47" s="28"/>
      <c r="E47" s="28"/>
      <c r="F47" s="28"/>
      <c r="G47" s="28"/>
      <c r="H47" s="10"/>
      <c r="I47" s="10"/>
      <c r="J47" s="10"/>
      <c r="K47" s="10"/>
      <c r="L47" s="7"/>
      <c r="M47" s="12"/>
      <c r="N47" s="12"/>
      <c r="O47" s="12"/>
      <c r="P47" s="12"/>
      <c r="Q47" s="12"/>
      <c r="R47" s="12"/>
      <c r="S47" s="12"/>
      <c r="T47" s="12"/>
      <c r="U47" s="12"/>
      <c r="V47" s="13"/>
    </row>
    <row r="48" spans="2:24">
      <c r="B48" s="29" t="s">
        <v>20</v>
      </c>
      <c r="C48" s="28" t="s">
        <v>59</v>
      </c>
      <c r="D48" s="23"/>
      <c r="E48" s="23"/>
      <c r="F48" s="23"/>
      <c r="G48" s="23"/>
      <c r="H48" s="10"/>
      <c r="I48" s="10"/>
      <c r="J48" s="10"/>
      <c r="K48" s="10"/>
      <c r="L48" s="7"/>
      <c r="M48" s="12"/>
      <c r="N48" s="12"/>
      <c r="O48" s="12"/>
      <c r="P48" s="12"/>
      <c r="Q48" s="12"/>
      <c r="R48" s="12"/>
      <c r="S48" s="12"/>
      <c r="T48" s="12"/>
      <c r="U48" s="12"/>
      <c r="V48" s="13"/>
    </row>
    <row r="49" spans="2:22">
      <c r="B49" s="29" t="s">
        <v>30</v>
      </c>
      <c r="C49" s="28" t="s">
        <v>60</v>
      </c>
      <c r="D49" s="23"/>
      <c r="E49" s="23"/>
      <c r="F49" s="23"/>
      <c r="G49" s="23"/>
      <c r="H49" s="7"/>
      <c r="I49" s="7"/>
      <c r="J49" s="7"/>
      <c r="K49" s="7"/>
      <c r="L49" s="7"/>
      <c r="M49" s="12"/>
      <c r="N49" s="12"/>
      <c r="O49" s="12"/>
      <c r="P49" s="12"/>
      <c r="Q49" s="12"/>
      <c r="R49" s="12"/>
      <c r="S49" s="12"/>
      <c r="T49" s="12"/>
      <c r="U49" s="12"/>
      <c r="V49" s="13"/>
    </row>
    <row r="50" spans="2:22">
      <c r="B50" s="29" t="s">
        <v>35</v>
      </c>
      <c r="C50" s="28" t="s">
        <v>61</v>
      </c>
      <c r="D50" s="20"/>
      <c r="E50" s="20"/>
      <c r="F50" s="20"/>
      <c r="G50" s="20"/>
      <c r="H50" s="2"/>
      <c r="I50" s="2"/>
      <c r="J50" s="2"/>
      <c r="K50" s="2"/>
    </row>
    <row r="51" spans="2:22">
      <c r="B51" s="29" t="s">
        <v>62</v>
      </c>
      <c r="C51" s="20" t="s">
        <v>130</v>
      </c>
      <c r="D51" s="20"/>
      <c r="E51" s="20"/>
      <c r="F51" s="20"/>
      <c r="G51" s="20"/>
      <c r="H51" s="2"/>
      <c r="I51" s="2"/>
      <c r="J51" s="2"/>
      <c r="K51" s="2"/>
    </row>
    <row r="52" spans="2:22">
      <c r="B52" s="29" t="s">
        <v>22</v>
      </c>
      <c r="C52" s="18" t="s">
        <v>63</v>
      </c>
      <c r="D52" s="20"/>
      <c r="E52" s="20"/>
      <c r="F52" s="20"/>
      <c r="G52" s="20"/>
    </row>
    <row r="53" spans="2:22">
      <c r="B53" s="29" t="s">
        <v>47</v>
      </c>
      <c r="C53" s="20" t="s">
        <v>65</v>
      </c>
      <c r="D53" s="20"/>
      <c r="E53" s="20"/>
      <c r="F53" s="20"/>
      <c r="G53" s="20"/>
    </row>
    <row r="54" spans="2:22">
      <c r="B54" s="29" t="s">
        <v>64</v>
      </c>
      <c r="C54" s="18" t="s">
        <v>83</v>
      </c>
      <c r="D54" s="20"/>
      <c r="E54" s="20"/>
      <c r="F54" s="20"/>
      <c r="G54" s="20"/>
    </row>
    <row r="55" spans="2:22">
      <c r="B55" s="50" t="s">
        <v>120</v>
      </c>
      <c r="C55" s="1" t="s">
        <v>193</v>
      </c>
    </row>
    <row r="56" spans="2:22">
      <c r="B56" s="15"/>
    </row>
    <row r="57" spans="2:22">
      <c r="B57" s="15"/>
    </row>
    <row r="58" spans="2:22">
      <c r="B58" s="15"/>
    </row>
    <row r="59" spans="2:22">
      <c r="B59" s="15"/>
    </row>
    <row r="60" spans="2:22">
      <c r="B60" s="15"/>
    </row>
    <row r="61" spans="2:22">
      <c r="B61" s="15"/>
    </row>
    <row r="62" spans="2:22">
      <c r="B62" s="15"/>
    </row>
    <row r="63" spans="2:22">
      <c r="B63" s="15"/>
    </row>
    <row r="64" spans="2:22">
      <c r="B64" s="15"/>
    </row>
    <row r="65" spans="2:2">
      <c r="B65" s="15"/>
    </row>
    <row r="66" spans="2:2">
      <c r="B66" s="15"/>
    </row>
    <row r="67" spans="2:2">
      <c r="B67" s="15"/>
    </row>
    <row r="68" spans="2:2">
      <c r="B68" s="15"/>
    </row>
    <row r="69" spans="2:2">
      <c r="B69" s="15"/>
    </row>
    <row r="70" spans="2:2">
      <c r="B70" s="15"/>
    </row>
    <row r="71" spans="2:2">
      <c r="B71" s="15"/>
    </row>
    <row r="72" spans="2:2">
      <c r="B72" s="15"/>
    </row>
    <row r="73" spans="2:2">
      <c r="B73" s="15"/>
    </row>
    <row r="74" spans="2:2">
      <c r="B74" s="15"/>
    </row>
    <row r="75" spans="2:2">
      <c r="B75" s="15"/>
    </row>
    <row r="76" spans="2:2">
      <c r="B76" s="15"/>
    </row>
    <row r="77" spans="2:2">
      <c r="B77" s="15"/>
    </row>
    <row r="78" spans="2:2">
      <c r="B78" s="15"/>
    </row>
    <row r="79" spans="2:2">
      <c r="B79" s="15"/>
    </row>
    <row r="80" spans="2:2">
      <c r="B80" s="16"/>
    </row>
    <row r="82" spans="2:2" ht="21.75">
      <c r="B82" s="17"/>
    </row>
  </sheetData>
  <mergeCells count="7">
    <mergeCell ref="C5:E5"/>
    <mergeCell ref="C6:E6"/>
    <mergeCell ref="C2:K2"/>
    <mergeCell ref="L2:M2"/>
    <mergeCell ref="N2:X2"/>
    <mergeCell ref="F3:G3"/>
    <mergeCell ref="H3:I3"/>
  </mergeCells>
  <hyperlinks>
    <hyperlink ref="C52" r:id="rId1" xr:uid="{00000000-0004-0000-0000-000000000000}"/>
    <hyperlink ref="C54" r:id="rId2" display="https://www.wholesalesolar.com/cms/fullriver-dc400-6-agm-battery-specs-4017212128.pdf" xr:uid="{00000000-0004-0000-0000-000001000000}"/>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48"/>
  <sheetViews>
    <sheetView zoomScaleNormal="100" workbookViewId="0">
      <pane xSplit="1" ySplit="2" topLeftCell="B3" activePane="bottomRight" state="frozen"/>
      <selection pane="topRight" activeCell="B1" sqref="B1"/>
      <selection pane="bottomLeft" activeCell="A3" sqref="A3"/>
      <selection pane="bottomRight" activeCell="M7" sqref="M7:M8"/>
    </sheetView>
  </sheetViews>
  <sheetFormatPr baseColWidth="10" defaultColWidth="11.42578125" defaultRowHeight="18"/>
  <cols>
    <col min="1" max="1" width="58.28515625" style="54" bestFit="1" customWidth="1"/>
    <col min="2" max="2" width="9.140625" style="55" customWidth="1"/>
    <col min="3" max="8" width="10.140625" style="55" customWidth="1"/>
    <col min="9" max="9" width="14.85546875" style="55" customWidth="1"/>
    <col min="10" max="10" width="10.140625" style="55" customWidth="1"/>
    <col min="11" max="11" width="13.5703125" style="55" customWidth="1"/>
    <col min="12" max="12" width="12.28515625" style="55" customWidth="1"/>
    <col min="13" max="13" width="61.42578125" style="83" customWidth="1"/>
    <col min="14" max="16" width="11" style="55" customWidth="1"/>
    <col min="17" max="16384" width="11.42578125" style="55"/>
  </cols>
  <sheetData>
    <row r="1" spans="1:17" ht="108">
      <c r="I1" s="56" t="s">
        <v>124</v>
      </c>
      <c r="K1" s="56" t="s">
        <v>125</v>
      </c>
      <c r="L1" s="129" t="s">
        <v>67</v>
      </c>
      <c r="M1" s="133" t="s">
        <v>122</v>
      </c>
      <c r="N1" s="129" t="s">
        <v>153</v>
      </c>
      <c r="O1" s="129"/>
      <c r="P1" s="129"/>
      <c r="Q1" s="57"/>
    </row>
    <row r="2" spans="1:17">
      <c r="A2" s="58" t="s">
        <v>66</v>
      </c>
      <c r="B2" s="56" t="s">
        <v>91</v>
      </c>
      <c r="C2" s="56">
        <v>2015</v>
      </c>
      <c r="D2" s="59">
        <v>2016</v>
      </c>
      <c r="E2" s="59">
        <v>2017</v>
      </c>
      <c r="F2" s="59">
        <v>2020</v>
      </c>
      <c r="G2" s="56">
        <v>2025</v>
      </c>
      <c r="H2" s="56">
        <v>2030</v>
      </c>
      <c r="I2" s="59" t="s">
        <v>126</v>
      </c>
      <c r="J2" s="56">
        <v>2050</v>
      </c>
      <c r="K2" s="59" t="s">
        <v>127</v>
      </c>
      <c r="L2" s="129"/>
      <c r="M2" s="133"/>
      <c r="N2" s="56">
        <v>2020</v>
      </c>
      <c r="O2" s="56">
        <v>2030</v>
      </c>
      <c r="P2" s="60">
        <v>2050</v>
      </c>
      <c r="Q2" s="60" t="s">
        <v>74</v>
      </c>
    </row>
    <row r="3" spans="1:17" ht="24.95" customHeight="1">
      <c r="A3" s="61" t="s">
        <v>154</v>
      </c>
      <c r="B3" s="62" t="s">
        <v>92</v>
      </c>
      <c r="C3" s="62"/>
      <c r="D3" s="59"/>
      <c r="E3" s="59"/>
      <c r="F3" s="59">
        <v>30</v>
      </c>
      <c r="G3" s="59"/>
      <c r="H3" s="59">
        <v>30</v>
      </c>
      <c r="I3" s="59"/>
      <c r="J3" s="59">
        <v>30</v>
      </c>
      <c r="K3" s="59"/>
      <c r="L3" s="132" t="s">
        <v>13</v>
      </c>
      <c r="M3" s="130" t="s">
        <v>175</v>
      </c>
      <c r="N3" s="63"/>
      <c r="O3" s="64"/>
      <c r="P3" s="64"/>
    </row>
    <row r="4" spans="1:17" ht="24.95" customHeight="1">
      <c r="A4" s="61" t="s">
        <v>155</v>
      </c>
      <c r="B4" s="62" t="s">
        <v>93</v>
      </c>
      <c r="C4" s="62"/>
      <c r="D4" s="59"/>
      <c r="E4" s="59"/>
      <c r="F4" s="59">
        <v>15</v>
      </c>
      <c r="G4" s="59"/>
      <c r="H4" s="59">
        <v>15</v>
      </c>
      <c r="I4" s="59"/>
      <c r="J4" s="59">
        <v>15</v>
      </c>
      <c r="K4" s="59"/>
      <c r="L4" s="132"/>
      <c r="M4" s="130"/>
      <c r="N4" s="63"/>
      <c r="O4" s="64"/>
      <c r="P4" s="64"/>
      <c r="Q4" s="65">
        <f>F4/F3</f>
        <v>0.5</v>
      </c>
    </row>
    <row r="5" spans="1:17" ht="24.95" customHeight="1">
      <c r="A5" s="61" t="s">
        <v>156</v>
      </c>
      <c r="B5" s="62" t="s">
        <v>94</v>
      </c>
      <c r="C5" s="62"/>
      <c r="D5" s="59"/>
      <c r="E5" s="59"/>
      <c r="F5" s="59">
        <v>15</v>
      </c>
      <c r="G5" s="59"/>
      <c r="H5" s="59">
        <v>15</v>
      </c>
      <c r="I5" s="59"/>
      <c r="J5" s="59">
        <v>15</v>
      </c>
      <c r="K5" s="59"/>
      <c r="L5" s="132"/>
      <c r="M5" s="130"/>
      <c r="N5" s="63"/>
      <c r="O5" s="64"/>
      <c r="P5" s="64"/>
    </row>
    <row r="6" spans="1:17" ht="23.45" customHeight="1">
      <c r="A6" s="61" t="s">
        <v>157</v>
      </c>
      <c r="B6" s="62" t="s">
        <v>95</v>
      </c>
      <c r="C6" s="62"/>
      <c r="D6" s="59"/>
      <c r="E6" s="59"/>
      <c r="F6" s="66">
        <v>82</v>
      </c>
      <c r="G6" s="59"/>
      <c r="H6" s="59">
        <v>85</v>
      </c>
      <c r="I6" s="59"/>
      <c r="J6" s="67">
        <v>85</v>
      </c>
      <c r="K6" s="67"/>
      <c r="L6" s="132"/>
      <c r="M6" s="68" t="s">
        <v>183</v>
      </c>
      <c r="N6" s="63"/>
      <c r="O6" s="64"/>
      <c r="P6" s="64"/>
    </row>
    <row r="7" spans="1:17">
      <c r="A7" s="61" t="s">
        <v>158</v>
      </c>
      <c r="B7" s="62" t="s">
        <v>96</v>
      </c>
      <c r="C7" s="62"/>
      <c r="D7" s="59"/>
      <c r="E7" s="59"/>
      <c r="F7" s="5">
        <f>POWER(F6/100,0.5)*100</f>
        <v>90.553851381374159</v>
      </c>
      <c r="G7" s="59"/>
      <c r="H7" s="5">
        <f>POWER(H6/100,0.5)*100</f>
        <v>92.195444572928878</v>
      </c>
      <c r="I7" s="59"/>
      <c r="J7" s="5">
        <f>POWER(J6/100,0.5)*100</f>
        <v>92.195444572928878</v>
      </c>
      <c r="K7" s="59"/>
      <c r="L7" s="128"/>
      <c r="M7" s="131" t="s">
        <v>184</v>
      </c>
      <c r="N7" s="63"/>
      <c r="O7" s="64"/>
      <c r="P7" s="64"/>
    </row>
    <row r="8" spans="1:17" ht="50.1" customHeight="1">
      <c r="A8" s="61" t="s">
        <v>159</v>
      </c>
      <c r="B8" s="62" t="s">
        <v>97</v>
      </c>
      <c r="C8" s="62"/>
      <c r="D8" s="59"/>
      <c r="E8" s="59"/>
      <c r="F8" s="67">
        <f>F7</f>
        <v>90.553851381374159</v>
      </c>
      <c r="G8" s="59"/>
      <c r="H8" s="67">
        <f>H7</f>
        <v>92.195444572928878</v>
      </c>
      <c r="I8" s="59"/>
      <c r="J8" s="67">
        <f>J7</f>
        <v>92.195444572928878</v>
      </c>
      <c r="K8" s="69"/>
      <c r="L8" s="128"/>
      <c r="M8" s="131"/>
      <c r="N8" s="63"/>
      <c r="O8" s="64"/>
      <c r="P8" s="64"/>
    </row>
    <row r="9" spans="1:17" ht="62.25" customHeight="1">
      <c r="A9" s="61" t="s">
        <v>160</v>
      </c>
      <c r="B9" s="62" t="s">
        <v>98</v>
      </c>
      <c r="C9" s="62"/>
      <c r="D9" s="59">
        <v>0.3</v>
      </c>
      <c r="E9" s="59"/>
      <c r="F9" s="59">
        <v>0.3</v>
      </c>
      <c r="G9" s="59">
        <v>0.3</v>
      </c>
      <c r="H9" s="59">
        <v>0.3</v>
      </c>
      <c r="I9" s="59"/>
      <c r="J9" s="70">
        <v>0.3</v>
      </c>
      <c r="K9" s="70"/>
      <c r="L9" s="68" t="s">
        <v>22</v>
      </c>
      <c r="M9" s="71" t="s">
        <v>176</v>
      </c>
      <c r="N9" s="63"/>
      <c r="O9" s="64"/>
      <c r="P9" s="64"/>
    </row>
    <row r="10" spans="1:17" ht="30" customHeight="1">
      <c r="A10" s="61" t="s">
        <v>161</v>
      </c>
      <c r="B10" s="62" t="s">
        <v>99</v>
      </c>
      <c r="C10" s="62"/>
      <c r="D10" s="59"/>
      <c r="E10" s="59"/>
      <c r="F10" s="59">
        <v>0</v>
      </c>
      <c r="G10" s="59"/>
      <c r="H10" s="59">
        <v>0</v>
      </c>
      <c r="I10" s="59"/>
      <c r="J10" s="67">
        <v>0</v>
      </c>
      <c r="K10" s="67"/>
      <c r="L10" s="64"/>
      <c r="M10" s="72" t="s">
        <v>185</v>
      </c>
      <c r="N10" s="63"/>
      <c r="O10" s="64"/>
      <c r="P10" s="64"/>
    </row>
    <row r="11" spans="1:17" ht="31.15" customHeight="1">
      <c r="A11" s="61" t="s">
        <v>162</v>
      </c>
      <c r="B11" s="62" t="s">
        <v>100</v>
      </c>
      <c r="C11" s="62"/>
      <c r="D11" s="59"/>
      <c r="E11" s="59"/>
      <c r="F11" s="59">
        <v>0.2</v>
      </c>
      <c r="G11" s="59"/>
      <c r="H11" s="59">
        <v>0.1</v>
      </c>
      <c r="I11" s="59"/>
      <c r="J11" s="69">
        <v>0.1</v>
      </c>
      <c r="K11" s="69"/>
      <c r="L11" s="64"/>
      <c r="M11" s="71" t="s">
        <v>186</v>
      </c>
      <c r="N11" s="63"/>
      <c r="O11" s="64"/>
      <c r="P11" s="64"/>
    </row>
    <row r="12" spans="1:17" ht="51">
      <c r="A12" s="61" t="s">
        <v>163</v>
      </c>
      <c r="B12" s="62" t="s">
        <v>101</v>
      </c>
      <c r="C12" s="59">
        <v>10</v>
      </c>
      <c r="D12" s="59">
        <v>14.5</v>
      </c>
      <c r="E12" s="59">
        <v>15</v>
      </c>
      <c r="F12" s="59">
        <v>13</v>
      </c>
      <c r="G12" s="59"/>
      <c r="H12" s="67">
        <f>(0.321429*H2)-635.196429</f>
        <v>17.304441000000111</v>
      </c>
      <c r="I12" s="67"/>
      <c r="J12" s="67">
        <f>(0.321429*J2)-635.196429</f>
        <v>23.733021000000122</v>
      </c>
      <c r="K12" s="67"/>
      <c r="L12" s="68" t="s">
        <v>121</v>
      </c>
      <c r="M12" s="68" t="s">
        <v>187</v>
      </c>
      <c r="N12" s="63"/>
      <c r="O12" s="64"/>
      <c r="P12" s="64"/>
    </row>
    <row r="13" spans="1:17" ht="23.45" customHeight="1">
      <c r="A13" s="61" t="s">
        <v>164</v>
      </c>
      <c r="B13" s="62" t="s">
        <v>102</v>
      </c>
      <c r="C13" s="59">
        <v>1</v>
      </c>
      <c r="D13" s="59"/>
      <c r="E13" s="59"/>
      <c r="F13" s="59">
        <v>1</v>
      </c>
      <c r="G13" s="59"/>
      <c r="H13" s="59">
        <v>1</v>
      </c>
      <c r="I13" s="59"/>
      <c r="J13" s="67">
        <v>1</v>
      </c>
      <c r="K13" s="67"/>
      <c r="L13" s="132" t="s">
        <v>30</v>
      </c>
      <c r="M13" s="130" t="s">
        <v>177</v>
      </c>
      <c r="N13" s="68"/>
      <c r="O13" s="68"/>
    </row>
    <row r="14" spans="1:17" ht="23.45" customHeight="1">
      <c r="A14" s="61" t="s">
        <v>165</v>
      </c>
      <c r="B14" s="62" t="s">
        <v>103</v>
      </c>
      <c r="C14" s="59"/>
      <c r="D14" s="59"/>
      <c r="E14" s="59"/>
      <c r="F14" s="59">
        <v>1E-3</v>
      </c>
      <c r="G14" s="59"/>
      <c r="H14" s="59">
        <v>1E-3</v>
      </c>
      <c r="I14" s="59"/>
      <c r="J14" s="73">
        <v>1E-3</v>
      </c>
      <c r="K14" s="73"/>
      <c r="L14" s="132"/>
      <c r="M14" s="130"/>
      <c r="N14" s="68"/>
      <c r="O14" s="68"/>
    </row>
    <row r="15" spans="1:17" ht="23.45" customHeight="1">
      <c r="A15" s="61" t="s">
        <v>166</v>
      </c>
      <c r="B15" s="62" t="s">
        <v>104</v>
      </c>
      <c r="C15" s="59"/>
      <c r="D15" s="59"/>
      <c r="E15" s="59"/>
      <c r="F15" s="59">
        <v>1E-3</v>
      </c>
      <c r="G15" s="59"/>
      <c r="H15" s="59">
        <v>1E-3</v>
      </c>
      <c r="I15" s="59"/>
      <c r="J15" s="73">
        <v>1E-3</v>
      </c>
      <c r="K15" s="73"/>
      <c r="L15" s="132"/>
      <c r="M15" s="130"/>
      <c r="N15" s="68"/>
      <c r="O15" s="68"/>
    </row>
    <row r="16" spans="1:17" ht="38.25">
      <c r="A16" s="61" t="s">
        <v>167</v>
      </c>
      <c r="B16" s="62" t="s">
        <v>105</v>
      </c>
      <c r="C16" s="59"/>
      <c r="D16" s="69">
        <v>0.57750000000000001</v>
      </c>
      <c r="E16" s="69"/>
      <c r="F16" s="69">
        <v>0.4738</v>
      </c>
      <c r="G16" s="69">
        <v>0.36899999999999999</v>
      </c>
      <c r="H16" s="69">
        <v>0.2888</v>
      </c>
      <c r="I16" s="69"/>
      <c r="J16" s="69">
        <f>1.39201133594603E+43*EXP(-0.049549*J2)</f>
        <v>0.10714831361424129</v>
      </c>
      <c r="K16" s="73"/>
      <c r="M16" s="68" t="s">
        <v>190</v>
      </c>
      <c r="N16" s="63"/>
      <c r="O16" s="64"/>
      <c r="P16" s="64"/>
    </row>
    <row r="17" spans="1:18" ht="63.75">
      <c r="A17" s="61" t="s">
        <v>168</v>
      </c>
      <c r="B17" s="62" t="s">
        <v>106</v>
      </c>
      <c r="C17" s="59"/>
      <c r="D17" s="73">
        <v>0.26250000000000001</v>
      </c>
      <c r="E17" s="73"/>
      <c r="F17" s="73">
        <v>0.21560000000000001</v>
      </c>
      <c r="G17" s="73">
        <v>0.1686</v>
      </c>
      <c r="H17" s="73">
        <v>0.1318</v>
      </c>
      <c r="I17" s="73"/>
      <c r="J17" s="73">
        <f>3.18509102167314E+42*EXP(-0.049209*J2)</f>
        <v>4.9222953614367432E-2</v>
      </c>
      <c r="K17" s="73"/>
      <c r="L17" s="132" t="s">
        <v>13</v>
      </c>
      <c r="M17" s="68" t="s">
        <v>188</v>
      </c>
      <c r="N17" s="63"/>
      <c r="O17" s="64"/>
      <c r="P17" s="64"/>
    </row>
    <row r="18" spans="1:18" ht="75" customHeight="1">
      <c r="A18" s="61" t="s">
        <v>169</v>
      </c>
      <c r="B18" s="62" t="s">
        <v>107</v>
      </c>
      <c r="C18" s="59"/>
      <c r="D18" s="73">
        <v>0.105</v>
      </c>
      <c r="E18" s="73"/>
      <c r="F18" s="73">
        <v>8.5199999999999998E-2</v>
      </c>
      <c r="G18" s="73">
        <v>6.5600000000000006E-2</v>
      </c>
      <c r="H18" s="73">
        <v>5.0599999999999999E-2</v>
      </c>
      <c r="I18" s="74">
        <f>(H18-F18)/F18</f>
        <v>-0.4061032863849765</v>
      </c>
      <c r="J18" s="73">
        <f>4.84984622498763E+44*EXP(-0.052156*J2)</f>
        <v>1.7825791495314873E-2</v>
      </c>
      <c r="K18" s="74">
        <f>(J18-H18)/H18</f>
        <v>-0.64771163052737402</v>
      </c>
      <c r="L18" s="132"/>
      <c r="M18" s="68" t="s">
        <v>189</v>
      </c>
      <c r="N18" s="73">
        <f>LA!C25</f>
        <v>0.67500000000000004</v>
      </c>
      <c r="O18" s="75">
        <f>N18*(1+I18)</f>
        <v>0.40088028169014089</v>
      </c>
      <c r="P18" s="75">
        <f>O18*(1+K18)</f>
        <v>0.14122546079034673</v>
      </c>
    </row>
    <row r="19" spans="1:18">
      <c r="A19" s="61" t="s">
        <v>170</v>
      </c>
      <c r="B19" s="62" t="s">
        <v>108</v>
      </c>
      <c r="C19" s="59"/>
      <c r="D19" s="59"/>
      <c r="E19" s="59"/>
      <c r="F19" s="69">
        <f>3.4*1.11</f>
        <v>3.774</v>
      </c>
      <c r="G19" s="59"/>
      <c r="H19" s="69">
        <f>F19</f>
        <v>3.774</v>
      </c>
      <c r="I19" s="76"/>
      <c r="J19" s="69">
        <f>H19</f>
        <v>3.774</v>
      </c>
      <c r="K19" s="76"/>
      <c r="L19" s="132" t="s">
        <v>62</v>
      </c>
      <c r="M19" s="134" t="s">
        <v>207</v>
      </c>
      <c r="N19" s="86"/>
      <c r="O19" s="87"/>
      <c r="P19" s="87"/>
    </row>
    <row r="20" spans="1:18">
      <c r="A20" s="61" t="s">
        <v>171</v>
      </c>
      <c r="B20" s="62" t="s">
        <v>109</v>
      </c>
      <c r="C20" s="59"/>
      <c r="D20" s="77"/>
      <c r="E20" s="77"/>
      <c r="F20" s="69">
        <f>0.37*1.11</f>
        <v>0.41070000000000001</v>
      </c>
      <c r="G20" s="77"/>
      <c r="H20" s="69">
        <f>F20</f>
        <v>0.41070000000000001</v>
      </c>
      <c r="I20" s="76"/>
      <c r="J20" s="69">
        <f>H20</f>
        <v>0.41070000000000001</v>
      </c>
      <c r="K20" s="76"/>
      <c r="L20" s="132"/>
      <c r="M20" s="134"/>
      <c r="N20" s="86"/>
      <c r="O20" s="87"/>
      <c r="P20" s="87"/>
    </row>
    <row r="21" spans="1:18" ht="38.25">
      <c r="A21" s="61" t="s">
        <v>172</v>
      </c>
      <c r="B21" s="62" t="s">
        <v>110</v>
      </c>
      <c r="C21" s="59"/>
      <c r="D21" s="59"/>
      <c r="E21" s="59"/>
      <c r="F21" s="59">
        <f>LA!C30</f>
        <v>1.107</v>
      </c>
      <c r="G21" s="59"/>
      <c r="H21" s="73">
        <f>LA!D30</f>
        <v>0.66448028169014095</v>
      </c>
      <c r="I21" s="59"/>
      <c r="J21" s="69">
        <f>LA!E30</f>
        <v>0.23967136801908157</v>
      </c>
      <c r="K21" s="69"/>
      <c r="M21" s="68" t="s">
        <v>199</v>
      </c>
      <c r="N21" s="88"/>
      <c r="O21" s="89"/>
      <c r="P21" s="89"/>
    </row>
    <row r="22" spans="1:18" ht="63.75">
      <c r="A22" s="61" t="s">
        <v>68</v>
      </c>
      <c r="B22" s="62" t="s">
        <v>111</v>
      </c>
      <c r="C22" s="59"/>
      <c r="D22" s="59">
        <v>1500</v>
      </c>
      <c r="E22" s="59"/>
      <c r="F22" s="59">
        <v>1866</v>
      </c>
      <c r="G22" s="59">
        <v>2453</v>
      </c>
      <c r="H22" s="59">
        <v>3225</v>
      </c>
      <c r="I22" s="76"/>
      <c r="J22" s="78">
        <f xml:space="preserve"> 2E-45*EXP(0.0546806668149887*J2)</f>
        <v>9625.633417054345</v>
      </c>
      <c r="K22" s="76"/>
      <c r="L22" s="68" t="s">
        <v>13</v>
      </c>
      <c r="M22" s="68" t="s">
        <v>191</v>
      </c>
      <c r="N22" s="90"/>
      <c r="O22" s="91"/>
      <c r="P22" s="91"/>
    </row>
    <row r="23" spans="1:18" ht="81.75" customHeight="1">
      <c r="A23" s="61" t="s">
        <v>173</v>
      </c>
      <c r="B23" s="62" t="s">
        <v>112</v>
      </c>
      <c r="C23" s="59"/>
      <c r="D23" s="59"/>
      <c r="E23" s="59"/>
      <c r="F23" s="59">
        <f>F25/($F$3/$F$4)</f>
        <v>18.75</v>
      </c>
      <c r="G23" s="59"/>
      <c r="H23" s="59">
        <f>H25/(H3/H4)</f>
        <v>25</v>
      </c>
      <c r="I23" s="79"/>
      <c r="J23" s="69">
        <f>J25/(J3/J4)</f>
        <v>44.449895353598158</v>
      </c>
      <c r="K23" s="79"/>
      <c r="L23" s="132" t="s">
        <v>192</v>
      </c>
      <c r="M23" s="68" t="s">
        <v>200</v>
      </c>
      <c r="N23" s="67">
        <f>N25/($F$3/$F$4)</f>
        <v>22.232142857142858</v>
      </c>
      <c r="O23" s="67">
        <f t="shared" ref="O23:P23" si="0">O25/($F$3/$F$4)</f>
        <v>29.642857142857142</v>
      </c>
      <c r="P23" s="67">
        <f t="shared" si="0"/>
        <v>52.704875919266385</v>
      </c>
    </row>
    <row r="24" spans="1:18" ht="31.15" customHeight="1">
      <c r="A24" s="61" t="s">
        <v>174</v>
      </c>
      <c r="B24" s="62" t="s">
        <v>113</v>
      </c>
      <c r="C24" s="59"/>
      <c r="D24" s="59"/>
      <c r="E24" s="59"/>
      <c r="F24" s="59">
        <f>F26/($F$3/$F$4)</f>
        <v>50</v>
      </c>
      <c r="G24" s="59"/>
      <c r="H24" s="59">
        <f>H26/($F$3/$F$4)</f>
        <v>97.5</v>
      </c>
      <c r="I24" s="79"/>
      <c r="J24" s="59">
        <f>J26/($F$3/$F$4)</f>
        <v>192.5</v>
      </c>
      <c r="K24" s="79"/>
      <c r="L24" s="132"/>
      <c r="M24" s="68" t="s">
        <v>201</v>
      </c>
      <c r="N24" s="67">
        <f>N26/($F$3/$F$4)</f>
        <v>55.606869703948142</v>
      </c>
      <c r="O24" s="67">
        <f t="shared" ref="O24:P24" si="1">O26/($F$3/$F$4)</f>
        <v>108.43339592269888</v>
      </c>
      <c r="P24" s="67">
        <f t="shared" si="1"/>
        <v>214.08644836020036</v>
      </c>
    </row>
    <row r="25" spans="1:18" ht="35.1" customHeight="1">
      <c r="A25" s="61" t="s">
        <v>197</v>
      </c>
      <c r="B25" s="62" t="s">
        <v>114</v>
      </c>
      <c r="C25" s="59"/>
      <c r="D25" s="59"/>
      <c r="E25" s="59"/>
      <c r="F25" s="59">
        <v>37.5</v>
      </c>
      <c r="G25" s="59"/>
      <c r="H25" s="59">
        <v>50</v>
      </c>
      <c r="I25" s="79">
        <f t="shared" ref="I25:I26" si="2">(H25-F25)/F25</f>
        <v>0.33333333333333331</v>
      </c>
      <c r="J25" s="67">
        <f>2.17E-24*EXP(0.0287682072451571*J2)</f>
        <v>88.899790707196317</v>
      </c>
      <c r="K25" s="79">
        <f t="shared" ref="K25:K26" si="3">(J25-H25)/H25</f>
        <v>0.77799581414392638</v>
      </c>
      <c r="L25" s="132"/>
      <c r="M25" s="68" t="s">
        <v>202</v>
      </c>
      <c r="N25" s="80">
        <f>(D36*1000)/D34</f>
        <v>44.464285714285715</v>
      </c>
      <c r="O25" s="81">
        <f>N25*(1+I25)</f>
        <v>59.285714285714285</v>
      </c>
      <c r="P25" s="81">
        <f>O25*(1+K25)</f>
        <v>105.40975183853277</v>
      </c>
    </row>
    <row r="26" spans="1:18" ht="35.1" customHeight="1">
      <c r="A26" s="61" t="s">
        <v>198</v>
      </c>
      <c r="B26" s="62" t="s">
        <v>115</v>
      </c>
      <c r="F26" s="59">
        <v>100</v>
      </c>
      <c r="H26" s="59">
        <v>195</v>
      </c>
      <c r="I26" s="79">
        <f t="shared" si="2"/>
        <v>0.95</v>
      </c>
      <c r="J26" s="67">
        <f>(9.5*J2)-19090</f>
        <v>385</v>
      </c>
      <c r="K26" s="79">
        <f t="shared" si="3"/>
        <v>0.97435897435897434</v>
      </c>
      <c r="L26" s="132"/>
      <c r="M26" s="68" t="s">
        <v>203</v>
      </c>
      <c r="N26" s="80">
        <f>D36/D35</f>
        <v>111.21373940789628</v>
      </c>
      <c r="O26" s="81">
        <f>N26*(1+I26)</f>
        <v>216.86679184539776</v>
      </c>
      <c r="P26" s="81">
        <f>O26*(1+K26)</f>
        <v>428.17289672040073</v>
      </c>
    </row>
    <row r="27" spans="1:18">
      <c r="A27" s="61"/>
      <c r="B27" s="62"/>
      <c r="F27" s="59"/>
      <c r="H27" s="59"/>
      <c r="I27" s="76"/>
      <c r="J27" s="69"/>
      <c r="K27" s="76"/>
      <c r="L27" s="68"/>
      <c r="M27" s="71"/>
      <c r="N27" s="67"/>
      <c r="O27" s="75"/>
      <c r="P27" s="75"/>
    </row>
    <row r="28" spans="1:18" ht="57.75" customHeight="1">
      <c r="A28" s="61"/>
      <c r="B28" s="62"/>
      <c r="F28" s="59"/>
      <c r="H28" s="92"/>
      <c r="I28" s="92"/>
      <c r="J28" s="94"/>
      <c r="K28" s="94"/>
      <c r="L28" s="94"/>
      <c r="M28" s="94"/>
      <c r="N28" s="67"/>
      <c r="O28" s="93"/>
      <c r="P28" s="93"/>
      <c r="Q28" s="92"/>
      <c r="R28" s="92"/>
    </row>
    <row r="29" spans="1:18">
      <c r="A29" s="61"/>
      <c r="B29" s="62"/>
      <c r="F29" s="59"/>
      <c r="H29" s="59"/>
      <c r="I29" s="76"/>
      <c r="J29" s="69"/>
      <c r="K29" s="76"/>
      <c r="L29" s="68"/>
      <c r="M29" s="71"/>
      <c r="N29" s="67"/>
      <c r="O29" s="75"/>
      <c r="P29" s="75"/>
    </row>
    <row r="30" spans="1:18">
      <c r="A30" s="61"/>
      <c r="B30" s="62"/>
      <c r="F30" s="59"/>
      <c r="H30" s="59"/>
      <c r="I30" s="76"/>
      <c r="J30" s="69"/>
      <c r="K30" s="76"/>
      <c r="L30" s="68"/>
      <c r="M30" s="71"/>
      <c r="N30" s="67"/>
      <c r="O30" s="75"/>
      <c r="P30" s="75"/>
    </row>
    <row r="31" spans="1:18">
      <c r="A31" s="61"/>
      <c r="B31" s="62"/>
      <c r="C31" s="128"/>
      <c r="D31" s="128"/>
      <c r="E31" s="128"/>
      <c r="F31" s="128"/>
      <c r="G31" s="128"/>
      <c r="H31" s="128"/>
      <c r="I31" s="128"/>
      <c r="J31" s="95"/>
      <c r="K31" s="95"/>
      <c r="L31" s="68"/>
      <c r="M31" s="71"/>
      <c r="N31" s="67"/>
      <c r="O31" s="75"/>
      <c r="P31" s="75"/>
    </row>
    <row r="32" spans="1:18">
      <c r="A32" s="61"/>
      <c r="B32" s="62"/>
      <c r="C32" s="127" t="s">
        <v>209</v>
      </c>
      <c r="D32" s="127"/>
      <c r="E32" s="127"/>
      <c r="F32" s="127"/>
      <c r="G32" s="127"/>
      <c r="H32" s="127"/>
      <c r="I32" s="127"/>
      <c r="J32" s="95"/>
      <c r="K32" s="95"/>
      <c r="L32" s="68"/>
      <c r="M32" s="71"/>
      <c r="N32" s="67"/>
      <c r="O32" s="75"/>
      <c r="P32" s="75"/>
    </row>
    <row r="33" spans="1:13">
      <c r="C33" s="82" t="s">
        <v>123</v>
      </c>
    </row>
    <row r="34" spans="1:13">
      <c r="C34" s="65" t="s">
        <v>75</v>
      </c>
      <c r="D34" s="65">
        <f>8*4*56</f>
        <v>1792</v>
      </c>
      <c r="E34" s="65" t="s">
        <v>77</v>
      </c>
      <c r="F34" s="65"/>
      <c r="G34" s="65" t="s">
        <v>42</v>
      </c>
      <c r="H34" s="65">
        <v>0.42399999999999999</v>
      </c>
      <c r="I34" s="65" t="s">
        <v>81</v>
      </c>
      <c r="J34" s="65"/>
    </row>
    <row r="35" spans="1:13">
      <c r="C35" s="65" t="s">
        <v>76</v>
      </c>
      <c r="D35" s="75">
        <f>H34*H35*H36</f>
        <v>0.71645823999999991</v>
      </c>
      <c r="E35" s="65" t="s">
        <v>78</v>
      </c>
      <c r="F35" s="65"/>
      <c r="G35" s="65" t="s">
        <v>80</v>
      </c>
      <c r="H35" s="65">
        <v>0.71599999999999997</v>
      </c>
      <c r="I35" s="65" t="s">
        <v>81</v>
      </c>
      <c r="J35" s="65"/>
    </row>
    <row r="36" spans="1:13">
      <c r="C36" s="65" t="s">
        <v>79</v>
      </c>
      <c r="D36" s="84">
        <f>(1660*48)/1000</f>
        <v>79.680000000000007</v>
      </c>
      <c r="E36" s="65" t="s">
        <v>84</v>
      </c>
      <c r="F36" s="65"/>
      <c r="G36" s="65" t="s">
        <v>82</v>
      </c>
      <c r="H36" s="65">
        <v>2.36</v>
      </c>
      <c r="I36" s="65" t="s">
        <v>81</v>
      </c>
      <c r="J36" s="65"/>
    </row>
    <row r="37" spans="1:13">
      <c r="C37" s="65"/>
      <c r="D37" s="65"/>
      <c r="E37" s="65"/>
      <c r="F37" s="65"/>
    </row>
    <row r="38" spans="1:13" s="47" customFormat="1" ht="15">
      <c r="A38" s="26" t="s">
        <v>57</v>
      </c>
      <c r="B38" s="27"/>
      <c r="M38" s="49"/>
    </row>
    <row r="39" spans="1:13" s="47" customFormat="1" ht="15">
      <c r="A39" s="29" t="s">
        <v>13</v>
      </c>
      <c r="B39" s="30" t="s">
        <v>58</v>
      </c>
      <c r="M39" s="49"/>
    </row>
    <row r="40" spans="1:13" s="47" customFormat="1" ht="15">
      <c r="A40" s="29" t="s">
        <v>20</v>
      </c>
      <c r="B40" s="28" t="s">
        <v>59</v>
      </c>
      <c r="M40" s="49"/>
    </row>
    <row r="41" spans="1:13" s="47" customFormat="1" ht="15">
      <c r="A41" s="29" t="s">
        <v>30</v>
      </c>
      <c r="B41" s="28" t="s">
        <v>60</v>
      </c>
      <c r="M41" s="49"/>
    </row>
    <row r="42" spans="1:13" s="47" customFormat="1" ht="15">
      <c r="A42" s="29" t="s">
        <v>35</v>
      </c>
      <c r="B42" s="28" t="s">
        <v>61</v>
      </c>
      <c r="M42" s="49"/>
    </row>
    <row r="43" spans="1:13" s="47" customFormat="1" ht="15">
      <c r="A43" s="29" t="s">
        <v>62</v>
      </c>
      <c r="B43" s="20" t="s">
        <v>130</v>
      </c>
      <c r="M43" s="49"/>
    </row>
    <row r="44" spans="1:13" s="47" customFormat="1" ht="15">
      <c r="A44" s="29" t="s">
        <v>22</v>
      </c>
      <c r="B44" s="18" t="s">
        <v>63</v>
      </c>
      <c r="M44" s="49"/>
    </row>
    <row r="45" spans="1:13" s="47" customFormat="1" ht="15">
      <c r="A45" s="29" t="s">
        <v>47</v>
      </c>
      <c r="B45" s="20" t="s">
        <v>65</v>
      </c>
      <c r="M45" s="49"/>
    </row>
    <row r="46" spans="1:13" s="47" customFormat="1" ht="15">
      <c r="A46" s="29" t="s">
        <v>64</v>
      </c>
      <c r="B46" s="18" t="s">
        <v>83</v>
      </c>
      <c r="M46" s="49"/>
    </row>
    <row r="47" spans="1:13" s="47" customFormat="1" ht="15">
      <c r="A47" s="29" t="s">
        <v>120</v>
      </c>
      <c r="B47" s="48" t="s">
        <v>193</v>
      </c>
      <c r="M47" s="49"/>
    </row>
    <row r="48" spans="1:13">
      <c r="A48" s="85"/>
    </row>
  </sheetData>
  <mergeCells count="15">
    <mergeCell ref="C32:I32"/>
    <mergeCell ref="C31:I31"/>
    <mergeCell ref="N1:P1"/>
    <mergeCell ref="M3:M5"/>
    <mergeCell ref="M7:M8"/>
    <mergeCell ref="L7:L8"/>
    <mergeCell ref="L23:L26"/>
    <mergeCell ref="M1:M2"/>
    <mergeCell ref="L1:L2"/>
    <mergeCell ref="M13:M15"/>
    <mergeCell ref="L3:L6"/>
    <mergeCell ref="L19:L20"/>
    <mergeCell ref="M19:M20"/>
    <mergeCell ref="L13:L15"/>
    <mergeCell ref="L17:L18"/>
  </mergeCells>
  <hyperlinks>
    <hyperlink ref="B44" r:id="rId1" xr:uid="{00000000-0004-0000-0100-000000000000}"/>
    <hyperlink ref="B46" r:id="rId2" display="https://www.wholesalesolar.com/cms/fullriver-dc400-6-agm-battery-specs-4017212128.pdf" xr:uid="{00000000-0004-0000-0100-000001000000}"/>
  </hyperlinks>
  <pageMargins left="0.7" right="0.7" top="0.75" bottom="0.75" header="0.3" footer="0.3"/>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39"/>
  <sheetViews>
    <sheetView zoomScale="90" zoomScaleNormal="90" workbookViewId="0">
      <selection activeCell="B27" sqref="B27:I27"/>
    </sheetView>
  </sheetViews>
  <sheetFormatPr baseColWidth="10" defaultColWidth="11.5703125" defaultRowHeight="15"/>
  <cols>
    <col min="1" max="1" width="55.5703125" style="32" bestFit="1" customWidth="1"/>
    <col min="2" max="7" width="10.140625" style="31" customWidth="1"/>
    <col min="8" max="8" width="13.5703125" style="31" customWidth="1"/>
    <col min="9" max="12" width="10.140625" style="31" customWidth="1"/>
    <col min="13" max="15" width="10.7109375" style="31" customWidth="1"/>
    <col min="16" max="16384" width="11.5703125" style="31"/>
  </cols>
  <sheetData>
    <row r="1" spans="1:15" ht="43.5" customHeight="1">
      <c r="A1" s="33"/>
      <c r="B1" s="34"/>
      <c r="C1" s="34"/>
      <c r="D1" s="138" t="s">
        <v>70</v>
      </c>
      <c r="E1" s="138"/>
      <c r="F1" s="138" t="s">
        <v>73</v>
      </c>
      <c r="G1" s="138"/>
      <c r="H1" s="37"/>
      <c r="I1" s="138" t="s">
        <v>71</v>
      </c>
      <c r="J1" s="138"/>
      <c r="K1" s="138" t="s">
        <v>72</v>
      </c>
      <c r="L1" s="138"/>
      <c r="M1" s="136" t="s">
        <v>116</v>
      </c>
      <c r="N1" s="136"/>
      <c r="O1" s="136"/>
    </row>
    <row r="2" spans="1:15" ht="15.75">
      <c r="A2" s="35" t="s">
        <v>66</v>
      </c>
      <c r="B2" s="36">
        <v>2020</v>
      </c>
      <c r="C2" s="36">
        <v>2030</v>
      </c>
      <c r="D2" s="37" t="s">
        <v>5</v>
      </c>
      <c r="E2" s="34" t="s">
        <v>6</v>
      </c>
      <c r="F2" s="34" t="s">
        <v>5</v>
      </c>
      <c r="G2" s="34" t="s">
        <v>6</v>
      </c>
      <c r="H2" s="37" t="s">
        <v>67</v>
      </c>
      <c r="I2" s="34" t="s">
        <v>5</v>
      </c>
      <c r="J2" s="34" t="s">
        <v>6</v>
      </c>
      <c r="K2" s="34" t="s">
        <v>5</v>
      </c>
      <c r="L2" s="34" t="s">
        <v>6</v>
      </c>
      <c r="M2" s="135" t="s">
        <v>129</v>
      </c>
      <c r="N2" s="135"/>
      <c r="O2" s="135"/>
    </row>
    <row r="3" spans="1:15" ht="16.149999999999999" customHeight="1">
      <c r="A3" s="38" t="s">
        <v>131</v>
      </c>
      <c r="B3" s="53">
        <v>9.9</v>
      </c>
      <c r="C3" s="53">
        <v>12.8</v>
      </c>
      <c r="D3" s="53">
        <v>3.3</v>
      </c>
      <c r="E3" s="53">
        <v>16.600000000000001</v>
      </c>
      <c r="F3" s="53">
        <v>4.3</v>
      </c>
      <c r="G3" s="53">
        <v>21.3</v>
      </c>
      <c r="H3" s="34" t="s">
        <v>13</v>
      </c>
      <c r="I3" s="39">
        <f>(D3-$B$3)/$B$3</f>
        <v>-0.66666666666666674</v>
      </c>
      <c r="J3" s="39">
        <f>(E3-$B$3)/$B$3</f>
        <v>0.6767676767676768</v>
      </c>
      <c r="K3" s="39">
        <f>(0.002857*C2)-6.057143</f>
        <v>-0.2574329999999998</v>
      </c>
      <c r="L3" s="39">
        <f>(-0.007619*C2)+15.819048</f>
        <v>0.3524780000000014</v>
      </c>
      <c r="M3" s="135"/>
      <c r="N3" s="135"/>
      <c r="O3" s="135"/>
    </row>
    <row r="4" spans="1:15" ht="16.899999999999999" customHeight="1">
      <c r="A4" s="51" t="s">
        <v>194</v>
      </c>
      <c r="B4" s="52">
        <v>38</v>
      </c>
      <c r="C4" s="52">
        <v>50</v>
      </c>
      <c r="D4" s="52">
        <v>25</v>
      </c>
      <c r="E4" s="52">
        <v>50</v>
      </c>
      <c r="F4" s="52">
        <v>40</v>
      </c>
      <c r="G4" s="52">
        <v>60</v>
      </c>
      <c r="H4" s="139" t="s">
        <v>120</v>
      </c>
      <c r="I4" s="39">
        <f>(D4-$B$4)/$B$4</f>
        <v>-0.34210526315789475</v>
      </c>
      <c r="J4" s="39">
        <f>(E4-$B$4)/$B$4</f>
        <v>0.31578947368421051</v>
      </c>
      <c r="K4" s="39">
        <f>(F4-$C$4)/$C$4</f>
        <v>-0.2</v>
      </c>
      <c r="L4" s="39">
        <f>(G4-$C$4)/$C$4</f>
        <v>0.2</v>
      </c>
      <c r="M4" s="141" t="s">
        <v>196</v>
      </c>
      <c r="N4" s="142"/>
      <c r="O4" s="142"/>
    </row>
    <row r="5" spans="1:15" ht="16.899999999999999" customHeight="1">
      <c r="A5" s="51" t="s">
        <v>195</v>
      </c>
      <c r="B5" s="52">
        <v>100</v>
      </c>
      <c r="C5" s="52">
        <v>195</v>
      </c>
      <c r="D5" s="52">
        <v>60</v>
      </c>
      <c r="E5" s="52">
        <v>140</v>
      </c>
      <c r="F5" s="52">
        <v>140</v>
      </c>
      <c r="G5" s="52">
        <v>250</v>
      </c>
      <c r="H5" s="140"/>
      <c r="I5" s="39">
        <f>(D5-$B$5)/$B$5</f>
        <v>-0.4</v>
      </c>
      <c r="J5" s="39">
        <f>(E5-$B$5)/$B$5</f>
        <v>0.4</v>
      </c>
      <c r="K5" s="39">
        <f>(F5-$C$5)/$C$5</f>
        <v>-0.28205128205128205</v>
      </c>
      <c r="L5" s="39">
        <f>(G5-$C$5)/$C$5</f>
        <v>0.28205128205128205</v>
      </c>
      <c r="M5" s="143"/>
      <c r="N5" s="144"/>
      <c r="O5" s="144"/>
    </row>
    <row r="8" spans="1:15" ht="15.75">
      <c r="A8" s="40"/>
      <c r="B8" s="136" t="s">
        <v>116</v>
      </c>
      <c r="C8" s="136"/>
      <c r="D8" s="136"/>
      <c r="E8" s="136"/>
      <c r="F8" s="136"/>
      <c r="G8" s="136"/>
      <c r="H8" s="136"/>
      <c r="I8" s="136"/>
      <c r="J8" s="96"/>
      <c r="K8" s="96"/>
      <c r="L8" s="96"/>
      <c r="M8" s="97"/>
      <c r="N8" s="97"/>
      <c r="O8" s="97"/>
    </row>
    <row r="9" spans="1:15" ht="30" customHeight="1">
      <c r="A9" s="38" t="s">
        <v>132</v>
      </c>
      <c r="B9" s="137" t="s">
        <v>178</v>
      </c>
      <c r="C9" s="137"/>
      <c r="D9" s="137"/>
      <c r="E9" s="137"/>
      <c r="F9" s="137"/>
      <c r="G9" s="137"/>
      <c r="H9" s="137"/>
      <c r="I9" s="137"/>
      <c r="J9" s="96"/>
      <c r="K9" s="96"/>
      <c r="L9" s="96"/>
      <c r="M9" s="96"/>
      <c r="N9" s="96"/>
      <c r="O9" s="96"/>
    </row>
    <row r="10" spans="1:15" ht="30" customHeight="1">
      <c r="A10" s="38" t="s">
        <v>133</v>
      </c>
      <c r="B10" s="137"/>
      <c r="C10" s="137"/>
      <c r="D10" s="137"/>
      <c r="E10" s="137"/>
      <c r="F10" s="137"/>
      <c r="G10" s="137"/>
      <c r="H10" s="137"/>
      <c r="I10" s="137"/>
      <c r="J10" s="96"/>
      <c r="K10" s="96"/>
      <c r="L10" s="96"/>
      <c r="M10" s="96"/>
      <c r="N10" s="96"/>
      <c r="O10" s="96"/>
    </row>
    <row r="11" spans="1:15" ht="30" customHeight="1">
      <c r="A11" s="38" t="s">
        <v>134</v>
      </c>
      <c r="B11" s="137"/>
      <c r="C11" s="137"/>
      <c r="D11" s="137"/>
      <c r="E11" s="137"/>
      <c r="F11" s="137"/>
      <c r="G11" s="137"/>
      <c r="H11" s="137"/>
      <c r="I11" s="137"/>
      <c r="J11" s="96"/>
      <c r="K11" s="96"/>
      <c r="L11" s="96"/>
      <c r="M11" s="96"/>
      <c r="N11" s="96"/>
      <c r="O11" s="96"/>
    </row>
    <row r="12" spans="1:15">
      <c r="A12" s="38" t="s">
        <v>135</v>
      </c>
      <c r="B12" s="137" t="s">
        <v>179</v>
      </c>
      <c r="C12" s="137"/>
      <c r="D12" s="137"/>
      <c r="E12" s="137"/>
      <c r="F12" s="137"/>
      <c r="G12" s="137"/>
      <c r="H12" s="137"/>
      <c r="I12" s="137"/>
      <c r="J12" s="96"/>
      <c r="K12" s="96"/>
      <c r="L12" s="96"/>
      <c r="M12" s="96"/>
      <c r="N12" s="96"/>
      <c r="O12" s="96"/>
    </row>
    <row r="13" spans="1:15" ht="30" customHeight="1">
      <c r="A13" s="38" t="s">
        <v>136</v>
      </c>
      <c r="B13" s="137" t="s">
        <v>184</v>
      </c>
      <c r="C13" s="137"/>
      <c r="D13" s="137"/>
      <c r="E13" s="137"/>
      <c r="F13" s="137"/>
      <c r="G13" s="137"/>
      <c r="H13" s="137"/>
      <c r="I13" s="137"/>
      <c r="J13" s="104"/>
      <c r="K13" s="98"/>
      <c r="L13" s="98"/>
      <c r="M13" s="99"/>
      <c r="N13" s="99"/>
      <c r="O13" s="99"/>
    </row>
    <row r="14" spans="1:15" ht="30" customHeight="1">
      <c r="A14" s="38" t="s">
        <v>137</v>
      </c>
      <c r="B14" s="137"/>
      <c r="C14" s="137"/>
      <c r="D14" s="137"/>
      <c r="E14" s="137"/>
      <c r="F14" s="137"/>
      <c r="G14" s="137"/>
      <c r="H14" s="137"/>
      <c r="I14" s="137"/>
      <c r="J14" s="104"/>
      <c r="K14" s="98"/>
      <c r="L14" s="98"/>
      <c r="M14" s="99"/>
      <c r="N14" s="99"/>
      <c r="O14" s="99"/>
    </row>
    <row r="15" spans="1:15" ht="76.5" customHeight="1">
      <c r="A15" s="38" t="s">
        <v>138</v>
      </c>
      <c r="B15" s="137" t="s">
        <v>180</v>
      </c>
      <c r="C15" s="137"/>
      <c r="D15" s="137"/>
      <c r="E15" s="137"/>
      <c r="F15" s="137"/>
      <c r="G15" s="137"/>
      <c r="H15" s="137"/>
      <c r="I15" s="137"/>
      <c r="J15" s="96"/>
      <c r="K15" s="96"/>
      <c r="L15" s="96"/>
      <c r="M15" s="96"/>
      <c r="N15" s="96"/>
      <c r="O15" s="96"/>
    </row>
    <row r="16" spans="1:15" ht="30" customHeight="1">
      <c r="A16" s="38" t="s">
        <v>139</v>
      </c>
      <c r="B16" s="137" t="s">
        <v>128</v>
      </c>
      <c r="C16" s="137"/>
      <c r="D16" s="137"/>
      <c r="E16" s="137"/>
      <c r="F16" s="137"/>
      <c r="G16" s="137"/>
      <c r="H16" s="137"/>
      <c r="I16" s="137"/>
      <c r="J16" s="96"/>
      <c r="K16" s="96"/>
      <c r="L16" s="96"/>
      <c r="M16" s="96"/>
      <c r="N16" s="96"/>
      <c r="O16" s="96"/>
    </row>
    <row r="17" spans="1:15" ht="30" customHeight="1">
      <c r="A17" s="38" t="s">
        <v>140</v>
      </c>
      <c r="B17" s="137"/>
      <c r="C17" s="137"/>
      <c r="D17" s="137"/>
      <c r="E17" s="137"/>
      <c r="F17" s="137"/>
      <c r="G17" s="137"/>
      <c r="H17" s="137"/>
      <c r="I17" s="137"/>
      <c r="J17" s="96"/>
      <c r="K17" s="96"/>
      <c r="L17" s="96"/>
      <c r="M17" s="96"/>
      <c r="N17" s="96"/>
      <c r="O17" s="96"/>
    </row>
    <row r="18" spans="1:15" ht="30" customHeight="1">
      <c r="A18" s="38" t="s">
        <v>141</v>
      </c>
      <c r="B18" s="137" t="s">
        <v>204</v>
      </c>
      <c r="C18" s="137"/>
      <c r="D18" s="137"/>
      <c r="E18" s="137"/>
      <c r="F18" s="137"/>
      <c r="G18" s="137"/>
      <c r="H18" s="137"/>
      <c r="I18" s="137"/>
      <c r="J18" s="103"/>
      <c r="K18" s="103"/>
      <c r="L18" s="103"/>
      <c r="M18" s="101"/>
      <c r="N18" s="100"/>
      <c r="O18" s="100"/>
    </row>
    <row r="19" spans="1:15" ht="30" customHeight="1">
      <c r="A19" s="38" t="s">
        <v>142</v>
      </c>
      <c r="B19" s="137" t="s">
        <v>205</v>
      </c>
      <c r="C19" s="137"/>
      <c r="D19" s="137"/>
      <c r="E19" s="137"/>
      <c r="F19" s="137"/>
      <c r="G19" s="137"/>
      <c r="H19" s="137"/>
      <c r="I19" s="137"/>
      <c r="J19" s="104"/>
      <c r="K19" s="104"/>
      <c r="L19" s="104"/>
      <c r="M19" s="101"/>
      <c r="N19" s="100"/>
      <c r="O19" s="100"/>
    </row>
    <row r="20" spans="1:15" ht="30" customHeight="1">
      <c r="A20" s="38" t="s">
        <v>143</v>
      </c>
      <c r="B20" s="137"/>
      <c r="C20" s="137"/>
      <c r="D20" s="137"/>
      <c r="E20" s="137"/>
      <c r="F20" s="137"/>
      <c r="G20" s="137"/>
      <c r="H20" s="137"/>
      <c r="I20" s="137"/>
      <c r="J20" s="104"/>
      <c r="K20" s="104"/>
      <c r="L20" s="104"/>
      <c r="M20" s="101"/>
      <c r="N20" s="100"/>
      <c r="O20" s="100"/>
    </row>
    <row r="21" spans="1:15" ht="59.25" customHeight="1">
      <c r="A21" s="38" t="s">
        <v>144</v>
      </c>
      <c r="B21" s="137" t="s">
        <v>190</v>
      </c>
      <c r="C21" s="137"/>
      <c r="D21" s="137"/>
      <c r="E21" s="137"/>
      <c r="F21" s="137"/>
      <c r="G21" s="137"/>
      <c r="H21" s="137"/>
      <c r="I21" s="137"/>
      <c r="J21" s="104"/>
      <c r="K21" s="104"/>
      <c r="L21" s="104"/>
      <c r="M21" s="101"/>
      <c r="N21" s="100"/>
      <c r="O21" s="100"/>
    </row>
    <row r="22" spans="1:15" ht="56.25" customHeight="1">
      <c r="A22" s="38" t="s">
        <v>145</v>
      </c>
      <c r="B22" s="137" t="s">
        <v>181</v>
      </c>
      <c r="C22" s="137"/>
      <c r="D22" s="137"/>
      <c r="E22" s="137"/>
      <c r="F22" s="137"/>
      <c r="G22" s="137"/>
      <c r="H22" s="137"/>
      <c r="I22" s="137"/>
      <c r="J22" s="105"/>
      <c r="K22" s="105"/>
      <c r="L22" s="105"/>
      <c r="M22" s="96"/>
      <c r="N22" s="96"/>
      <c r="O22" s="96"/>
    </row>
    <row r="23" spans="1:15" ht="30" customHeight="1">
      <c r="A23" s="38" t="s">
        <v>146</v>
      </c>
      <c r="B23" s="135" t="s">
        <v>206</v>
      </c>
      <c r="C23" s="135"/>
      <c r="D23" s="135"/>
      <c r="E23" s="135"/>
      <c r="F23" s="135"/>
      <c r="G23" s="135"/>
      <c r="H23" s="135"/>
      <c r="I23" s="135"/>
      <c r="J23" s="103"/>
      <c r="K23" s="103"/>
      <c r="L23" s="103"/>
      <c r="M23" s="101"/>
      <c r="N23" s="100"/>
      <c r="O23" s="100"/>
    </row>
    <row r="24" spans="1:15" ht="48" customHeight="1">
      <c r="A24" s="38" t="s">
        <v>147</v>
      </c>
      <c r="B24" s="135" t="s">
        <v>208</v>
      </c>
      <c r="C24" s="135"/>
      <c r="D24" s="135"/>
      <c r="E24" s="135"/>
      <c r="F24" s="135"/>
      <c r="G24" s="135"/>
      <c r="H24" s="135"/>
      <c r="I24" s="135"/>
      <c r="J24" s="103"/>
      <c r="K24" s="103"/>
      <c r="L24" s="103"/>
      <c r="M24" s="102"/>
      <c r="N24" s="99"/>
      <c r="O24" s="99"/>
    </row>
    <row r="25" spans="1:15" ht="45" customHeight="1">
      <c r="A25" s="38" t="s">
        <v>148</v>
      </c>
      <c r="B25" s="135"/>
      <c r="C25" s="135"/>
      <c r="D25" s="135"/>
      <c r="E25" s="135"/>
      <c r="F25" s="135"/>
      <c r="G25" s="135"/>
      <c r="H25" s="135"/>
      <c r="I25" s="135"/>
      <c r="J25" s="103"/>
      <c r="K25" s="103"/>
      <c r="L25" s="103"/>
      <c r="M25" s="102"/>
      <c r="N25" s="99"/>
      <c r="O25" s="99"/>
    </row>
    <row r="26" spans="1:15" ht="61.5" customHeight="1">
      <c r="A26" s="38" t="s">
        <v>149</v>
      </c>
      <c r="B26" s="135" t="s">
        <v>199</v>
      </c>
      <c r="C26" s="135"/>
      <c r="D26" s="135"/>
      <c r="E26" s="135"/>
      <c r="F26" s="135"/>
      <c r="G26" s="135"/>
      <c r="H26" s="135"/>
      <c r="I26" s="135"/>
      <c r="J26" s="104"/>
      <c r="K26" s="104"/>
      <c r="L26" s="104"/>
      <c r="M26" s="101"/>
      <c r="N26" s="100"/>
      <c r="O26" s="100"/>
    </row>
    <row r="27" spans="1:15" ht="76.5" customHeight="1">
      <c r="A27" s="38" t="s">
        <v>46</v>
      </c>
      <c r="B27" s="137" t="s">
        <v>182</v>
      </c>
      <c r="C27" s="137"/>
      <c r="D27" s="137"/>
      <c r="E27" s="137"/>
      <c r="F27" s="137"/>
      <c r="G27" s="137"/>
      <c r="H27" s="137"/>
      <c r="I27" s="137"/>
      <c r="J27" s="106"/>
      <c r="K27" s="106"/>
      <c r="L27" s="106"/>
      <c r="M27" s="96"/>
      <c r="N27" s="96"/>
      <c r="O27" s="96"/>
    </row>
    <row r="28" spans="1:15" ht="59.25" customHeight="1">
      <c r="A28" s="38" t="s">
        <v>150</v>
      </c>
      <c r="B28" s="135" t="s">
        <v>200</v>
      </c>
      <c r="C28" s="135"/>
      <c r="D28" s="135"/>
      <c r="E28" s="135"/>
      <c r="F28" s="135"/>
      <c r="G28" s="135"/>
      <c r="H28" s="135"/>
      <c r="I28" s="135"/>
      <c r="J28" s="104"/>
      <c r="K28" s="104"/>
      <c r="L28" s="104"/>
      <c r="M28" s="101"/>
      <c r="N28" s="100"/>
      <c r="O28" s="100"/>
    </row>
    <row r="29" spans="1:15" ht="60" customHeight="1">
      <c r="A29" s="38" t="s">
        <v>151</v>
      </c>
      <c r="B29" s="145" t="s">
        <v>201</v>
      </c>
      <c r="C29" s="146"/>
      <c r="D29" s="146"/>
      <c r="E29" s="146"/>
      <c r="F29" s="146"/>
      <c r="G29" s="146"/>
      <c r="H29" s="146"/>
      <c r="I29" s="147"/>
      <c r="J29" s="96"/>
      <c r="K29" s="96"/>
      <c r="L29" s="96"/>
      <c r="M29" s="96"/>
      <c r="N29" s="96"/>
      <c r="O29" s="96"/>
    </row>
    <row r="31" spans="1:15">
      <c r="A31" s="42" t="s">
        <v>13</v>
      </c>
      <c r="B31" s="43" t="s">
        <v>58</v>
      </c>
      <c r="C31" s="44"/>
    </row>
    <row r="32" spans="1:15">
      <c r="A32" s="42" t="s">
        <v>20</v>
      </c>
      <c r="B32" s="45" t="s">
        <v>59</v>
      </c>
      <c r="C32" s="44"/>
    </row>
    <row r="33" spans="1:3">
      <c r="A33" s="42" t="s">
        <v>30</v>
      </c>
      <c r="B33" s="45" t="s">
        <v>60</v>
      </c>
      <c r="C33" s="44"/>
    </row>
    <row r="34" spans="1:3">
      <c r="A34" s="42" t="s">
        <v>35</v>
      </c>
      <c r="B34" s="45" t="s">
        <v>61</v>
      </c>
      <c r="C34" s="44"/>
    </row>
    <row r="35" spans="1:3">
      <c r="A35" s="42" t="s">
        <v>62</v>
      </c>
      <c r="B35" s="46" t="s">
        <v>152</v>
      </c>
      <c r="C35" s="44"/>
    </row>
    <row r="36" spans="1:3">
      <c r="A36" s="42" t="s">
        <v>22</v>
      </c>
      <c r="B36" s="41" t="s">
        <v>63</v>
      </c>
      <c r="C36" s="44"/>
    </row>
    <row r="37" spans="1:3">
      <c r="A37" s="42" t="s">
        <v>47</v>
      </c>
      <c r="B37" s="46" t="s">
        <v>65</v>
      </c>
      <c r="C37" s="44"/>
    </row>
    <row r="38" spans="1:3">
      <c r="A38" s="42" t="s">
        <v>64</v>
      </c>
      <c r="B38" s="41" t="s">
        <v>83</v>
      </c>
      <c r="C38" s="44"/>
    </row>
    <row r="39" spans="1:3" ht="15.75">
      <c r="A39" s="29" t="s">
        <v>120</v>
      </c>
      <c r="B39" s="48" t="s">
        <v>193</v>
      </c>
    </row>
  </sheetData>
  <mergeCells count="24">
    <mergeCell ref="B29:I29"/>
    <mergeCell ref="B28:I28"/>
    <mergeCell ref="B13:I14"/>
    <mergeCell ref="B15:I15"/>
    <mergeCell ref="B21:I21"/>
    <mergeCell ref="B22:I22"/>
    <mergeCell ref="B26:I26"/>
    <mergeCell ref="B27:I27"/>
    <mergeCell ref="M2:O3"/>
    <mergeCell ref="M1:O1"/>
    <mergeCell ref="B19:I20"/>
    <mergeCell ref="B23:I23"/>
    <mergeCell ref="B24:I25"/>
    <mergeCell ref="B16:I17"/>
    <mergeCell ref="B18:I18"/>
    <mergeCell ref="D1:E1"/>
    <mergeCell ref="F1:G1"/>
    <mergeCell ref="I1:J1"/>
    <mergeCell ref="K1:L1"/>
    <mergeCell ref="B8:I8"/>
    <mergeCell ref="B9:I11"/>
    <mergeCell ref="H4:H5"/>
    <mergeCell ref="M4:O5"/>
    <mergeCell ref="B12:I12"/>
  </mergeCells>
  <hyperlinks>
    <hyperlink ref="B36" r:id="rId1" xr:uid="{00000000-0004-0000-0200-000000000000}"/>
    <hyperlink ref="B38" r:id="rId2" display="https://www.wholesalesolar.com/cms/fullriver-dc400-6-agm-battery-specs-4017212128.pdf" xr:uid="{00000000-0004-0000-0200-000001000000}"/>
  </hyperlinks>
  <pageMargins left="0.7" right="0.7" top="0.75" bottom="0.75" header="0.3" footer="0.3"/>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Gráficos</vt:lpstr>
      </vt:variant>
      <vt:variant>
        <vt:i4>4</vt:i4>
      </vt:variant>
    </vt:vector>
  </HeadingPairs>
  <TitlesOfParts>
    <vt:vector size="7" baseType="lpstr">
      <vt:lpstr>LA</vt:lpstr>
      <vt:lpstr>Data</vt:lpstr>
      <vt:lpstr>Uncertanties</vt:lpstr>
      <vt:lpstr>17_EC</vt:lpstr>
      <vt:lpstr>22_LTN</vt:lpstr>
      <vt:lpstr>25_SE</vt:lpstr>
      <vt:lpstr>26_ED</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Ulises</cp:lastModifiedBy>
  <cp:revision/>
  <dcterms:created xsi:type="dcterms:W3CDTF">2020-01-16T16:11:58Z</dcterms:created>
  <dcterms:modified xsi:type="dcterms:W3CDTF">2020-05-19T15:28:55Z</dcterms:modified>
</cp:coreProperties>
</file>