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03-PROY ALM ENE\04-INFORMES\R-D2\Tablas V11\"/>
    </mc:Choice>
  </mc:AlternateContent>
  <xr:revisionPtr revIDLastSave="0" documentId="13_ncr:1_{8D1DC582-8249-403E-80B7-14B4DF053A21}" xr6:coauthVersionLast="45" xr6:coauthVersionMax="45" xr10:uidLastSave="{00000000-0000-0000-0000-000000000000}"/>
  <bookViews>
    <workbookView xWindow="30300" yWindow="1155" windowWidth="26145" windowHeight="14640" xr2:uid="{00000000-000D-0000-FFFF-FFFF00000000}"/>
  </bookViews>
  <sheets>
    <sheet name="Lithium Ion" sheetId="2" r:id="rId1"/>
    <sheet name="Data" sheetId="3" r:id="rId2"/>
    <sheet name="Uncertanties" sheetId="6" r:id="rId3"/>
    <sheet name="03UES_L" sheetId="7" r:id="rId4"/>
    <sheet name="04UOC_L" sheetId="8" r:id="rId5"/>
    <sheet name="05URT_U" sheetId="9" r:id="rId6"/>
    <sheet name="06URT_L" sheetId="10" r:id="rId7"/>
    <sheet name="07UEL_U" sheetId="11" r:id="rId8"/>
    <sheet name="08UFO_L" sheetId="12" r:id="rId9"/>
    <sheet name="08UFO_U" sheetId="13" r:id="rId10"/>
    <sheet name="09UPO_U" sheetId="14" r:id="rId11"/>
    <sheet name="10UTL_L" sheetId="15" r:id="rId12"/>
    <sheet name="10UTL_U" sheetId="16" r:id="rId13"/>
    <sheet name="11UCT_L" sheetId="17" r:id="rId14"/>
    <sheet name="12UEC_L" sheetId="18" r:id="rId15"/>
    <sheet name="12UEC_U" sheetId="19" r:id="rId16"/>
    <sheet name="13UCC_L" sheetId="20" r:id="rId17"/>
    <sheet name="13UCC_U" sheetId="21" r:id="rId18"/>
    <sheet name="14UOP_L" sheetId="22" r:id="rId19"/>
    <sheet name="14UOP_U" sheetId="23" r:id="rId20"/>
    <sheet name="15UFO_L" sheetId="24" r:id="rId21"/>
    <sheet name="16UVO_L" sheetId="25" r:id="rId22"/>
    <sheet name="16UVO_U" sheetId="26" r:id="rId23"/>
    <sheet name="17UES_L" sheetId="27" r:id="rId24"/>
    <sheet name="17UES_U" sheetId="28" r:id="rId25"/>
    <sheet name="18UOC_L" sheetId="29" r:id="rId26"/>
    <sheet name="18UOC_U" sheetId="30" r:id="rId27"/>
    <sheet name="19UAI_L" sheetId="31" r:id="rId28"/>
    <sheet name="19UAI_U" sheetId="32" r:id="rId29"/>
    <sheet name="20ULT_L" sheetId="33" r:id="rId30"/>
    <sheet name="20ULT_U" sheetId="34" r:id="rId31"/>
    <sheet name="21USE_L" sheetId="35" r:id="rId32"/>
    <sheet name="21USE_U" sheetId="36" r:id="rId33"/>
    <sheet name="22UED_L" sheetId="37" r:id="rId34"/>
  </sheets>
  <externalReferences>
    <externalReference r:id="rId35"/>
    <externalReference r:id="rId36"/>
  </externalReferences>
  <definedNames>
    <definedName name="_Ref528590632" localSheetId="0">'Lithium Ion'!$B$43</definedName>
    <definedName name="_Ref528590707" localSheetId="0">'Lithium Ion'!#REF!</definedName>
    <definedName name="_Ref528591471" localSheetId="0">'Lithium Ion'!$B$45</definedName>
    <definedName name="_Ref528591483" localSheetId="0">'Lithium Ion'!$B$46</definedName>
    <definedName name="_Ref528591591" localSheetId="0">'Lithium Ion'!$B$47</definedName>
    <definedName name="_Ref528592058" localSheetId="0">'Lithium Ion'!$B$48</definedName>
    <definedName name="_Ref528592236" localSheetId="0">'Lithium Ion'!$B$51</definedName>
    <definedName name="_Ref528593310" localSheetId="0">'Lithium Ion'!$B$58</definedName>
    <definedName name="_Ref528654609" localSheetId="0">'Lithium Ion'!$B$49</definedName>
    <definedName name="_Ref528654640" localSheetId="0">'Lithium Ion'!#REF!</definedName>
    <definedName name="_Ref528667067" localSheetId="0">'Lithium Ion'!$B$52</definedName>
    <definedName name="_Ref528668644" localSheetId="0">'Lithium Ion'!$B$53</definedName>
    <definedName name="_Ref528668946" localSheetId="0">'Lithium Ion'!$B$54</definedName>
    <definedName name="_Ref528669041" localSheetId="0">'Lithium Ion'!$B$55</definedName>
    <definedName name="_Ref528669245" localSheetId="0">'Lithium Ion'!$B$56</definedName>
    <definedName name="_Ref528670685" localSheetId="0">'Lithium Ion'!$B$59</definedName>
    <definedName name="_Ref528918119" localSheetId="0">'Lithium Ion'!$B$57</definedName>
    <definedName name="_Toc528918118" localSheetId="0">'Lithium Ion'!$A$61</definedName>
    <definedName name="aa">#REF!</definedName>
    <definedName name="asdf">#REF!</definedName>
    <definedName name="asdfasfd">#REF!</definedName>
    <definedName name="b">#REF!</definedName>
    <definedName name="BTV11_15">'[1]arbejds ark LARGE New'!$K$33</definedName>
    <definedName name="bvcxx">#REF!</definedName>
    <definedName name="bvcxxx">#REF!</definedName>
    <definedName name="BVT17_15">'[1]arbejds ark LARGE New'!$S$67</definedName>
    <definedName name="d">#REF!</definedName>
    <definedName name="ddd">#REF!</definedName>
    <definedName name="ddddd">#REF!</definedName>
    <definedName name="e">#REF!</definedName>
    <definedName name="EUR16tilEUR15">'[1]22 Photovoltaics  LARGE Old'!$N$2</definedName>
    <definedName name="ewr">#REF!</definedName>
    <definedName name="fds">#REF!</definedName>
    <definedName name="h">#REF!</definedName>
    <definedName name="Index" localSheetId="0">#REF!</definedName>
    <definedName name="Index">#REF!</definedName>
    <definedName name="qwer">#REF!</definedName>
    <definedName name="sadf">#REF!</definedName>
    <definedName name="Sheet" localSheetId="0">#REF!</definedName>
    <definedName name="Sheet">#REF!</definedName>
    <definedName name="SheetNew1">#REF!</definedName>
    <definedName name="Start10" localSheetId="0">'Lithium Ion'!#REF!</definedName>
    <definedName name="Start10">'[2]03 Li-Ion Battery power-intens'!#REF!</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 localSheetId="0">#REF!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 localSheetId="0">#REF!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 localSheetId="0">#REF!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 name="w">#REF!</definedName>
    <definedName name="werwer">#REF!</definedName>
    <definedName name="www">#REF!</definedName>
    <definedName name="xc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2" l="1"/>
  <c r="C32" i="2" l="1"/>
  <c r="K23" i="3" s="1"/>
  <c r="M22" i="6" l="1"/>
  <c r="M21" i="6"/>
  <c r="K22" i="6"/>
  <c r="V20" i="6" s="1"/>
  <c r="P22" i="6"/>
  <c r="W21" i="6" s="1"/>
  <c r="O22" i="6"/>
  <c r="V21" i="6" s="1"/>
  <c r="L22" i="6"/>
  <c r="N21" i="6"/>
  <c r="P21" i="6"/>
  <c r="T21" i="6" s="1"/>
  <c r="O21" i="6"/>
  <c r="S21" i="6" s="1"/>
  <c r="L21" i="6"/>
  <c r="T20" i="6" s="1"/>
  <c r="K21" i="6"/>
  <c r="N20" i="6"/>
  <c r="M20" i="6"/>
  <c r="P20" i="6"/>
  <c r="Z18" i="6" s="1"/>
  <c r="O20" i="6"/>
  <c r="Y18" i="6" s="1"/>
  <c r="L20" i="6"/>
  <c r="K20" i="6"/>
  <c r="N19" i="6"/>
  <c r="M19" i="6"/>
  <c r="P19" i="6"/>
  <c r="W18" i="6" s="1"/>
  <c r="O19" i="6"/>
  <c r="V18" i="6" s="1"/>
  <c r="L19" i="6"/>
  <c r="K19" i="6"/>
  <c r="N18" i="6"/>
  <c r="M18" i="6"/>
  <c r="P18" i="6"/>
  <c r="T18" i="6" s="1"/>
  <c r="O18" i="6"/>
  <c r="S18" i="6" s="1"/>
  <c r="L18" i="6"/>
  <c r="K18" i="6"/>
  <c r="N17" i="6"/>
  <c r="M17" i="6"/>
  <c r="P17" i="6"/>
  <c r="Z15" i="6" s="1"/>
  <c r="O17" i="6"/>
  <c r="Y15" i="6" s="1"/>
  <c r="L17" i="6"/>
  <c r="K17" i="6"/>
  <c r="N16" i="6"/>
  <c r="M16" i="6"/>
  <c r="P16" i="6"/>
  <c r="W15" i="6" s="1"/>
  <c r="O16" i="6"/>
  <c r="V15" i="6" s="1"/>
  <c r="L16" i="6"/>
  <c r="K16" i="6"/>
  <c r="M15" i="6"/>
  <c r="P15" i="6"/>
  <c r="T15" i="6" s="1"/>
  <c r="O15" i="6"/>
  <c r="S15" i="6" s="1"/>
  <c r="L15" i="6"/>
  <c r="K15" i="6"/>
  <c r="N14" i="6"/>
  <c r="M14" i="6"/>
  <c r="P14" i="6"/>
  <c r="Z12" i="6" s="1"/>
  <c r="O14" i="6"/>
  <c r="Y12" i="6" s="1"/>
  <c r="L14" i="6"/>
  <c r="K14" i="6"/>
  <c r="N13" i="6"/>
  <c r="M13" i="6"/>
  <c r="P13" i="6"/>
  <c r="W12" i="6" s="1"/>
  <c r="O13" i="6"/>
  <c r="V12" i="6" s="1"/>
  <c r="L13" i="6"/>
  <c r="K13" i="6"/>
  <c r="N12" i="6"/>
  <c r="M12" i="6"/>
  <c r="P12" i="6"/>
  <c r="T12" i="6" s="1"/>
  <c r="O12" i="6"/>
  <c r="S12" i="6" s="1"/>
  <c r="L12" i="6"/>
  <c r="K12" i="6"/>
  <c r="M11" i="6"/>
  <c r="P11" i="6"/>
  <c r="Z9" i="6" s="1"/>
  <c r="O11" i="6"/>
  <c r="Y9" i="6" s="1"/>
  <c r="L11" i="6"/>
  <c r="K11" i="6"/>
  <c r="N10" i="6"/>
  <c r="M10" i="6"/>
  <c r="P10" i="6"/>
  <c r="W9" i="6" s="1"/>
  <c r="O10" i="6"/>
  <c r="V9" i="6" s="1"/>
  <c r="L10" i="6"/>
  <c r="W8" i="6" s="1"/>
  <c r="K10" i="6"/>
  <c r="V8" i="6" s="1"/>
  <c r="N9" i="6"/>
  <c r="P9" i="6"/>
  <c r="T9" i="6" s="1"/>
  <c r="O9" i="6"/>
  <c r="S9" i="6" s="1"/>
  <c r="L9" i="6"/>
  <c r="T8" i="6" s="1"/>
  <c r="K9" i="6"/>
  <c r="N8" i="6"/>
  <c r="M8" i="6"/>
  <c r="O8" i="6"/>
  <c r="Y6" i="6" s="1"/>
  <c r="P8" i="6"/>
  <c r="Z6" i="6" s="1"/>
  <c r="L8" i="6"/>
  <c r="Z5" i="6" s="1"/>
  <c r="K8" i="6"/>
  <c r="N7" i="6"/>
  <c r="P7" i="6"/>
  <c r="W6" i="6" s="1"/>
  <c r="O7" i="6"/>
  <c r="V6" i="6" s="1"/>
  <c r="L7" i="6"/>
  <c r="G15" i="2" s="1"/>
  <c r="K7" i="6"/>
  <c r="M6" i="6"/>
  <c r="P6" i="6"/>
  <c r="T6" i="6" s="1"/>
  <c r="O6" i="6"/>
  <c r="S6" i="6" s="1"/>
  <c r="L6" i="6"/>
  <c r="K6" i="6"/>
  <c r="N5" i="6"/>
  <c r="P5" i="6"/>
  <c r="Z3" i="6" s="1"/>
  <c r="O5" i="6"/>
  <c r="Y3" i="6" s="1"/>
  <c r="L5" i="6"/>
  <c r="K5" i="6"/>
  <c r="M4" i="6"/>
  <c r="M3" i="6"/>
  <c r="P4" i="6"/>
  <c r="W3" i="6" s="1"/>
  <c r="O4" i="6"/>
  <c r="V3" i="6" s="1"/>
  <c r="L4" i="6"/>
  <c r="K4" i="6"/>
  <c r="P3" i="6"/>
  <c r="T3" i="6" s="1"/>
  <c r="O3" i="6"/>
  <c r="S3" i="6" s="1"/>
  <c r="L3" i="6"/>
  <c r="K3" i="6"/>
  <c r="S2" i="6" s="1"/>
  <c r="M5" i="6" l="1"/>
  <c r="Y2" i="6"/>
  <c r="T2" i="6"/>
  <c r="N3" i="6"/>
  <c r="N4" i="6"/>
  <c r="W2" i="6"/>
  <c r="G11" i="2"/>
  <c r="Z2" i="6"/>
  <c r="S5" i="6"/>
  <c r="F13" i="2"/>
  <c r="F14" i="2" s="1"/>
  <c r="F12" i="2" s="1"/>
  <c r="G13" i="2"/>
  <c r="G14" i="2" s="1"/>
  <c r="G12" i="2" s="1"/>
  <c r="T5" i="6"/>
  <c r="N6" i="6"/>
  <c r="F15" i="2"/>
  <c r="V5" i="6"/>
  <c r="M7" i="6"/>
  <c r="F16" i="2"/>
  <c r="Y5" i="6"/>
  <c r="S8" i="6"/>
  <c r="F17" i="2"/>
  <c r="G18" i="2"/>
  <c r="F19" i="2"/>
  <c r="Y8" i="6"/>
  <c r="Z8" i="6"/>
  <c r="G19" i="2"/>
  <c r="N11" i="6"/>
  <c r="F26" i="2"/>
  <c r="S11" i="6"/>
  <c r="G26" i="2"/>
  <c r="T11" i="6"/>
  <c r="F27" i="2"/>
  <c r="F33" i="2" s="1"/>
  <c r="V11" i="6"/>
  <c r="G27" i="2"/>
  <c r="G33" i="2" s="1"/>
  <c r="W11" i="6"/>
  <c r="F28" i="2"/>
  <c r="Y11" i="6"/>
  <c r="G28" i="2"/>
  <c r="Z11" i="6"/>
  <c r="F29" i="2"/>
  <c r="S14" i="6"/>
  <c r="G29" i="2"/>
  <c r="T14" i="6"/>
  <c r="N15" i="6"/>
  <c r="F30" i="2"/>
  <c r="V14" i="6"/>
  <c r="G30" i="2"/>
  <c r="W14" i="6"/>
  <c r="Y14" i="6"/>
  <c r="Z14" i="6"/>
  <c r="S17" i="6"/>
  <c r="T17" i="6"/>
  <c r="F34" i="2"/>
  <c r="V17" i="6"/>
  <c r="G34" i="2"/>
  <c r="W17" i="6"/>
  <c r="F20" i="2"/>
  <c r="Y17" i="6"/>
  <c r="G20" i="2"/>
  <c r="Z17" i="6"/>
  <c r="S20" i="6"/>
  <c r="N22" i="6"/>
  <c r="W20" i="6"/>
  <c r="V2" i="6"/>
  <c r="F11" i="2"/>
  <c r="W5" i="6"/>
  <c r="F18" i="2"/>
  <c r="G17" i="2"/>
  <c r="F8" i="2"/>
  <c r="M9" i="6"/>
  <c r="G8" i="2"/>
  <c r="G16" i="2"/>
  <c r="F32" i="2" l="1"/>
  <c r="G32" i="2"/>
  <c r="C37" i="2"/>
  <c r="G37" i="2" l="1"/>
  <c r="F37" i="2"/>
  <c r="F35" i="3" l="1"/>
  <c r="C38" i="2" l="1"/>
  <c r="N5" i="3"/>
  <c r="N4" i="3"/>
  <c r="F38" i="2" l="1"/>
  <c r="G38" i="2"/>
  <c r="K30" i="3" l="1"/>
  <c r="K29" i="3"/>
  <c r="K26" i="3"/>
  <c r="K25" i="3"/>
  <c r="K24" i="3"/>
  <c r="K22" i="3"/>
  <c r="K21" i="3"/>
  <c r="K20" i="3"/>
  <c r="K19" i="3"/>
  <c r="K18" i="3"/>
  <c r="K14" i="3"/>
  <c r="K13" i="3"/>
  <c r="K12" i="3"/>
  <c r="K11" i="3"/>
  <c r="K10" i="3"/>
  <c r="K8" i="3"/>
  <c r="K6" i="3"/>
  <c r="K3" i="3"/>
  <c r="G30" i="3"/>
  <c r="G29" i="3"/>
  <c r="G28" i="3"/>
  <c r="G27" i="3"/>
  <c r="G26" i="3"/>
  <c r="G25" i="3"/>
  <c r="G24" i="3"/>
  <c r="G19" i="3"/>
  <c r="G18" i="3"/>
  <c r="G20" i="3"/>
  <c r="G23" i="3"/>
  <c r="G22" i="3"/>
  <c r="G21" i="3"/>
  <c r="G14" i="3"/>
  <c r="G13" i="3"/>
  <c r="G12" i="3"/>
  <c r="G11" i="3"/>
  <c r="G10" i="3"/>
  <c r="G9" i="3"/>
  <c r="G8" i="3"/>
  <c r="G7" i="3"/>
  <c r="G6" i="3"/>
  <c r="G5" i="3"/>
  <c r="G4" i="3"/>
  <c r="G3" i="3"/>
  <c r="E30" i="3"/>
  <c r="E29" i="3"/>
  <c r="E28" i="3"/>
  <c r="E27" i="3"/>
  <c r="E26" i="3"/>
  <c r="E25" i="3"/>
  <c r="E24" i="3"/>
  <c r="E23" i="3"/>
  <c r="E22" i="3"/>
  <c r="E21" i="3"/>
  <c r="E20" i="3"/>
  <c r="E19" i="3"/>
  <c r="E18" i="3"/>
  <c r="E14" i="3"/>
  <c r="E13" i="3"/>
  <c r="E12" i="3"/>
  <c r="E11" i="3"/>
  <c r="E10" i="3"/>
  <c r="E9" i="3"/>
  <c r="E8" i="3"/>
  <c r="E7" i="3"/>
  <c r="E6" i="3"/>
  <c r="E5" i="3"/>
  <c r="E4" i="3"/>
  <c r="E3" i="3"/>
  <c r="L26" i="3" l="1"/>
  <c r="L11" i="3"/>
  <c r="M11" i="3" s="1"/>
  <c r="L22" i="3"/>
  <c r="M22" i="3" s="1"/>
  <c r="E30" i="2" s="1"/>
  <c r="L30" i="3"/>
  <c r="M30" i="3" s="1"/>
  <c r="L20" i="3"/>
  <c r="D28" i="2" s="1"/>
  <c r="L10" i="3"/>
  <c r="L21" i="3"/>
  <c r="D29" i="2" s="1"/>
  <c r="L29" i="3"/>
  <c r="M29" i="3" s="1"/>
  <c r="L12" i="3"/>
  <c r="L23" i="3"/>
  <c r="L13" i="3"/>
  <c r="M13" i="3" s="1"/>
  <c r="E18" i="2" s="1"/>
  <c r="L24" i="3"/>
  <c r="L6" i="3"/>
  <c r="M6" i="3" s="1"/>
  <c r="L14" i="3"/>
  <c r="M14" i="3" s="1"/>
  <c r="E19" i="2" s="1"/>
  <c r="L25" i="3"/>
  <c r="D34" i="2" s="1"/>
  <c r="L18" i="3"/>
  <c r="M18" i="3" s="1"/>
  <c r="E26" i="2" s="1"/>
  <c r="L8" i="3"/>
  <c r="M8" i="3" s="1"/>
  <c r="L19" i="3"/>
  <c r="M19" i="3" s="1"/>
  <c r="E27" i="2" s="1"/>
  <c r="E33" i="2" s="1"/>
  <c r="L3" i="3"/>
  <c r="C14" i="2"/>
  <c r="C12" i="2" s="1"/>
  <c r="C9" i="2"/>
  <c r="M12" i="3" l="1"/>
  <c r="E17" i="2" s="1"/>
  <c r="D30" i="2"/>
  <c r="H30" i="2" s="1"/>
  <c r="M3" i="3"/>
  <c r="E8" i="2" s="1"/>
  <c r="D15" i="2"/>
  <c r="H15" i="2" s="1"/>
  <c r="M10" i="3"/>
  <c r="E15" i="2" s="1"/>
  <c r="D16" i="2"/>
  <c r="H16" i="2" s="1"/>
  <c r="E16" i="2"/>
  <c r="M24" i="3"/>
  <c r="D18" i="2"/>
  <c r="I18" i="2" s="1"/>
  <c r="M20" i="3"/>
  <c r="E28" i="2" s="1"/>
  <c r="E32" i="2" s="1"/>
  <c r="D19" i="2"/>
  <c r="I19" i="2" s="1"/>
  <c r="D26" i="2"/>
  <c r="M21" i="3"/>
  <c r="E29" i="2" s="1"/>
  <c r="M25" i="3"/>
  <c r="E34" i="2" s="1"/>
  <c r="M23" i="3"/>
  <c r="K4" i="3"/>
  <c r="L4" i="3" s="1"/>
  <c r="G9" i="2"/>
  <c r="F9" i="2"/>
  <c r="C25" i="2"/>
  <c r="C35" i="2"/>
  <c r="K27" i="3" s="1"/>
  <c r="L27" i="3" s="1"/>
  <c r="M27" i="3" s="1"/>
  <c r="C36" i="2"/>
  <c r="K28" i="3" s="1"/>
  <c r="L28" i="3" s="1"/>
  <c r="M28" i="3" s="1"/>
  <c r="I29" i="2"/>
  <c r="H29" i="2"/>
  <c r="I28" i="2"/>
  <c r="H28" i="2"/>
  <c r="I34" i="2"/>
  <c r="H34" i="2"/>
  <c r="D13" i="2"/>
  <c r="D20" i="2"/>
  <c r="M26" i="3"/>
  <c r="D11" i="2"/>
  <c r="K7" i="3"/>
  <c r="L7" i="3" s="1"/>
  <c r="M7" i="3" s="1"/>
  <c r="K9" i="3"/>
  <c r="L9" i="3" s="1"/>
  <c r="M9" i="3" s="1"/>
  <c r="D17" i="2"/>
  <c r="D27" i="2"/>
  <c r="D33" i="2" s="1"/>
  <c r="D8" i="2"/>
  <c r="D38" i="2" s="1"/>
  <c r="C10" i="2"/>
  <c r="K5" i="3" s="1"/>
  <c r="L5" i="3" s="1"/>
  <c r="M5" i="3" s="1"/>
  <c r="I30" i="2" l="1"/>
  <c r="H26" i="2"/>
  <c r="H32" i="2" s="1"/>
  <c r="D32" i="2"/>
  <c r="I15" i="2"/>
  <c r="I16" i="2"/>
  <c r="H18" i="2"/>
  <c r="M4" i="3"/>
  <c r="D9" i="2"/>
  <c r="H19" i="2"/>
  <c r="I26" i="2"/>
  <c r="I32" i="2" s="1"/>
  <c r="E25" i="2"/>
  <c r="H8" i="2"/>
  <c r="I8" i="2"/>
  <c r="D37" i="2"/>
  <c r="I27" i="2"/>
  <c r="I33" i="2" s="1"/>
  <c r="H27" i="2"/>
  <c r="H33" i="2" s="1"/>
  <c r="I17" i="2"/>
  <c r="H17" i="2"/>
  <c r="E11" i="2"/>
  <c r="I11" i="2"/>
  <c r="H11" i="2"/>
  <c r="E13" i="2"/>
  <c r="I13" i="2"/>
  <c r="H13" i="2"/>
  <c r="F10" i="2"/>
  <c r="F25" i="2"/>
  <c r="F35" i="2"/>
  <c r="F36" i="2"/>
  <c r="G10" i="2"/>
  <c r="G25" i="2"/>
  <c r="G35" i="2"/>
  <c r="G36" i="2"/>
  <c r="D14" i="2"/>
  <c r="D10" i="2"/>
  <c r="H9" i="2" l="1"/>
  <c r="I9" i="2"/>
  <c r="D25" i="2"/>
  <c r="H14" i="2"/>
  <c r="H12" i="2" s="1"/>
  <c r="I14" i="2"/>
  <c r="I12" i="2" s="1"/>
  <c r="E38" i="2"/>
  <c r="E36" i="2" s="1"/>
  <c r="H38" i="2"/>
  <c r="I38" i="2"/>
  <c r="D36" i="2"/>
  <c r="E37" i="2"/>
  <c r="E35" i="2" s="1"/>
  <c r="I37" i="2"/>
  <c r="H37" i="2"/>
  <c r="D35" i="2"/>
  <c r="E14" i="2"/>
  <c r="E12" i="2" s="1"/>
  <c r="D12" i="2"/>
  <c r="I35" i="2" l="1"/>
  <c r="H36" i="2"/>
  <c r="I36" i="2"/>
  <c r="H35" i="2"/>
  <c r="I10" i="2"/>
  <c r="I25" i="2"/>
  <c r="H10" i="2"/>
  <c r="H25" i="2"/>
</calcChain>
</file>

<file path=xl/sharedStrings.xml><?xml version="1.0" encoding="utf-8"?>
<sst xmlns="http://schemas.openxmlformats.org/spreadsheetml/2006/main" count="410" uniqueCount="234">
  <si>
    <t>2020 (Uncertainty)</t>
  </si>
  <si>
    <t>2050 (Uncertainty)</t>
  </si>
  <si>
    <t>Exchange ratio 2020</t>
  </si>
  <si>
    <t>Exchange ratio 2030</t>
  </si>
  <si>
    <t>Exchange ratio 2050</t>
  </si>
  <si>
    <t>Year</t>
  </si>
  <si>
    <t>Lower (%)</t>
  </si>
  <si>
    <t>Upper (%)</t>
  </si>
  <si>
    <t>Technical Data</t>
  </si>
  <si>
    <t>Lower</t>
  </si>
  <si>
    <t>Upper</t>
  </si>
  <si>
    <t>Reference</t>
  </si>
  <si>
    <t xml:space="preserve">Lifetime in Total Number of Cycles </t>
  </si>
  <si>
    <t>Technology</t>
  </si>
  <si>
    <t>Lithium-ion NMC battery (Utility-scale, Samsung SDI E3-R135)</t>
  </si>
  <si>
    <t>Uncertainty (2020)</t>
  </si>
  <si>
    <t>Note</t>
  </si>
  <si>
    <t>Ref</t>
  </si>
  <si>
    <t>Energy/technical data</t>
  </si>
  <si>
    <t>Form of energy stored</t>
  </si>
  <si>
    <t>Electrochemical</t>
  </si>
  <si>
    <t>Application</t>
  </si>
  <si>
    <t>System, energy-intensive (2 h)</t>
  </si>
  <si>
    <t>Energy storage capacity for one unit (MWh)</t>
  </si>
  <si>
    <t>A</t>
  </si>
  <si>
    <t>Output capacity for one unit (MW)</t>
  </si>
  <si>
    <t>Input capacity for one unit (MW)</t>
  </si>
  <si>
    <t>Round trip efficiency (%) AC</t>
  </si>
  <si>
    <t>B</t>
  </si>
  <si>
    <t>Round trip efficiency (%) DC</t>
  </si>
  <si>
    <t>C</t>
  </si>
  <si>
    <t>[1]</t>
  </si>
  <si>
    <t>- Discharge efficiency (%)</t>
  </si>
  <si>
    <t>Energy losses during storage (%/day)</t>
  </si>
  <si>
    <t>D</t>
  </si>
  <si>
    <t>Forced outage (%)</t>
  </si>
  <si>
    <t>E</t>
  </si>
  <si>
    <t>Planned outage (weeks per year)</t>
  </si>
  <si>
    <t>Technical lifetime (years)</t>
  </si>
  <si>
    <t>F</t>
  </si>
  <si>
    <t>Construction time (years)</t>
  </si>
  <si>
    <t>[11]</t>
  </si>
  <si>
    <t>Regulation ability</t>
  </si>
  <si>
    <t>Response time from idle to full-rated discharge (sec)</t>
  </si>
  <si>
    <t>&lt;0.08</t>
  </si>
  <si>
    <t>G</t>
  </si>
  <si>
    <t>[19]</t>
  </si>
  <si>
    <t>Response time from full-rated charge to full-rated discharge (sec)</t>
  </si>
  <si>
    <t>Financial data</t>
  </si>
  <si>
    <t>H</t>
  </si>
  <si>
    <t>- energy component (MUSD/MWh)</t>
  </si>
  <si>
    <t>[14]</t>
  </si>
  <si>
    <t>- capacity component (MUSD/MW) PCS</t>
  </si>
  <si>
    <t>[23]</t>
  </si>
  <si>
    <t>- other project costs (MUSD/MWh)</t>
  </si>
  <si>
    <t>J</t>
  </si>
  <si>
    <t>K</t>
  </si>
  <si>
    <t>Variable O&amp;M (USD2020/MWh)</t>
  </si>
  <si>
    <t>L</t>
  </si>
  <si>
    <t>[21]</t>
  </si>
  <si>
    <t>Technology specific data</t>
  </si>
  <si>
    <t>M</t>
  </si>
  <si>
    <t>N</t>
  </si>
  <si>
    <t>[20-22]</t>
  </si>
  <si>
    <t>O</t>
  </si>
  <si>
    <t>Lifetime in total number of cycles</t>
  </si>
  <si>
    <t>P</t>
  </si>
  <si>
    <t>Specific power (W/kg)</t>
  </si>
  <si>
    <t>Q</t>
  </si>
  <si>
    <t>Power density (kW/m3)</t>
  </si>
  <si>
    <t>Specific energy (Wh/kg)</t>
  </si>
  <si>
    <t>Energy density (kWh/m3)</t>
  </si>
  <si>
    <t>Notes</t>
  </si>
  <si>
    <t>References</t>
  </si>
  <si>
    <t>Samsung. ESS Batteries by Samsung SDI Top Safety &amp; Reliability Solutions, (2018). http://www.samsungsdi.com/upload/ess_brochure/201809_SamsungSDI ESS_EN.pdf</t>
  </si>
  <si>
    <t>L. Kokam Co. Total Energy Storage Solution Provider, (2018). http://kokam.com/data/2018_Kokam_ESS_Brochure_ver_5.0.pdf</t>
  </si>
  <si>
    <t>L. Kokam Co. Kokam Li-ion / Polymer Cell, (2017).  http://kokam.com/data/Kokam_Cell_Brochure_V.4.pdf</t>
  </si>
  <si>
    <t>StoraXe. StoraXe Industrial &amp; Infrastructure Scalable battery storage system, (2018). https://www.ads-tec.de/fileadmin/download/doc/brochure/Datasheet_Energy_Industrial_EN.pdf</t>
  </si>
  <si>
    <t>Altairnano. 24 V 60 Ah Battery Module, (2016). https://altairnano.com/products/battery-module/</t>
  </si>
  <si>
    <t>Samsung, Smart Battery Systems for Energy Storage, (2016). http://www.samsungsdi.com/upload/ess_brochure/Samsung SDI brochure_EN.pdf</t>
  </si>
  <si>
    <t>Electropaedia. Battery Performance Characteristics - How to specify and test a battery, (2018). https://www.mpoweruk.com/performance.htm</t>
  </si>
  <si>
    <t>A.H. Fathima, K. Palanisamy. Renewable systems and energy storages for hybrid systems, Ed(s): A. Hina Fathima, et al., in  Hybrid-renewable energy systems in microgrids. Woodhead Publishing (2018), pp. 162. https://doi.org/10.1016/B978-0-08-102493-5.00008-X</t>
  </si>
  <si>
    <t xml:space="preserve">Lazard. Levelized Cost of Storage (2017)., https://www.lazard.com/perspective/levelized-cost-of-storage-2017/ </t>
  </si>
  <si>
    <t>LG Chem. Change your energy. Change your life., (2018). http://www.lgchem.com/upload/file/product/LGChem_Catalog_Global_2018.pdf</t>
  </si>
  <si>
    <t>Tesla. Addressing Peak Energy Demand with the Tesla Powerpack, (2016). https://www.tesla.com/da_DK/blog/addressing-peak-energy-demand-tesla-powerpack?redirect=no</t>
  </si>
  <si>
    <t>Tesla. Tesla Powerpack to Enable Large Scale Sustainable Energy to South Australia, (2017). https://www.tesla.com/da_DK/blog/Tesla-powerpack-enable-large-scale-sustainable-energy-south-australia?redirect=no Page</t>
  </si>
  <si>
    <t>Energy Storage Association. Frequency Regulation Services and a Firm Wind Product: AES Energy Storage Laurel Mountain Battery Energy Storage, (2018). http://energystorage.org/energy-storage/case-studies/frequency-regulation-services-and-firm-wind-product-aes-energy-storage</t>
  </si>
  <si>
    <t>Bloomberg New Energy Finance. New Energy Outlook 2018, (2018). https://bnef.turtl.co/story/neo2018.pdf?autoprint=true&amp;teaser=true</t>
  </si>
  <si>
    <t>International Renewable Energy Agency. IRENA Battery Storage Report, (2015). http://www.irena.org/-/media/Files/IRENA/Agency/Publication/2015/IRENA_Battery_Storage_report_2015.pdf</t>
  </si>
  <si>
    <t>International Renewable Energy Agency. Electricity Storage and Renewables : Costs and Markets To 2030, (2017). http://www.irena.org/publications/2017/Oct/Electricity-storage-and-renewables-costs-and-markets</t>
  </si>
  <si>
    <t>Danish Technological Institute. BESS project Smart grid ready Battery Energy Storage System for future grid, (2017). https://www.energiforskning.dk/sites/energiteknologi.dk/files/slutrapporter/bess_final_report_forskel_10731.pdf</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</si>
  <si>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</si>
  <si>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</si>
  <si>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R. Benato, G. Bruno, F. Palone, R.M. Polito, M. Rebolini, Large-scale electrochemical energy storage in high voltage grids: Overview of the Italian experience, Energies. 10 (2017) 1-17. doi:10.3390/en10010108</t>
  </si>
  <si>
    <t>B. Zakeri, S. Syri, Electrical energy storage systems: A comparative life cycle cost analysis, Renew. Sustain. Energy Rev. 42 (2015) 569–596. doi:10.1016/j.rser.2014.10.011</t>
  </si>
  <si>
    <t>G. Huff, A.B. Currier, B.C. Kaun, D.M. Rastler, S.B. Chen, D.T. Bradshaw, W.D. Gauntlett, DOE/EPRI electricity storage handbook in collaboration with NRECA, (2015). https://www.sandia.gov/ess-ssl/publications/SAND2015-1002.pdf</t>
  </si>
  <si>
    <t>Danish Energy Agency. (2019). Technogy Data for Energy Storage. Copenhagen, Denmark. Retrieved from https://ens.dk/sites/ens.dk/files/Analyser/technology_data_catalogue_for_energy_storage.pdf</t>
  </si>
  <si>
    <t>Exchange ratio between the years 2030 and 2020</t>
  </si>
  <si>
    <t>Exchange ratio between the years 2050 and 2030</t>
  </si>
  <si>
    <t>20-30 (%)</t>
  </si>
  <si>
    <t>30-50 (%)</t>
  </si>
  <si>
    <t>C-rate</t>
  </si>
  <si>
    <t>&lt;0,08</t>
  </si>
  <si>
    <t>Weight:</t>
  </si>
  <si>
    <t>Volume:</t>
  </si>
  <si>
    <t>Energy:</t>
  </si>
  <si>
    <t>m [W]</t>
  </si>
  <si>
    <t>m³</t>
  </si>
  <si>
    <t>kWh</t>
  </si>
  <si>
    <t>m [D]</t>
  </si>
  <si>
    <t>m [H]</t>
  </si>
  <si>
    <t>From [1]:</t>
  </si>
  <si>
    <t>[24]</t>
  </si>
  <si>
    <t>Fixed O&amp;M (kUSD2020/MW/year)</t>
  </si>
  <si>
    <t>NOTE</t>
  </si>
  <si>
    <t>ABB</t>
  </si>
  <si>
    <t>ESC</t>
  </si>
  <si>
    <t>OCO</t>
  </si>
  <si>
    <t>RTE</t>
  </si>
  <si>
    <t>CE</t>
  </si>
  <si>
    <t>ELS</t>
  </si>
  <si>
    <t>FO</t>
  </si>
  <si>
    <t>PO</t>
  </si>
  <si>
    <t>TL</t>
  </si>
  <si>
    <t>CT</t>
  </si>
  <si>
    <t>EC</t>
  </si>
  <si>
    <t>CC</t>
  </si>
  <si>
    <t>OPC</t>
  </si>
  <si>
    <t>FOM</t>
  </si>
  <si>
    <t>VOM</t>
  </si>
  <si>
    <t>ESE</t>
  </si>
  <si>
    <t>OCE</t>
  </si>
  <si>
    <t>AIC</t>
  </si>
  <si>
    <t>LTN</t>
  </si>
  <si>
    <t>SE</t>
  </si>
  <si>
    <t>ED</t>
  </si>
  <si>
    <t>Schmidt, O., Melchior, S., Hawkes, A., &amp; Staffell, I. (2019). Projecting the Future Levelized Cost of Electricity Storage Technologies. Joule, 3(1), 81–100. https://doi.org/10.1016/j.joule.2018.12.008</t>
  </si>
  <si>
    <t>Prodecure followed to determine the projection</t>
  </si>
  <si>
    <t>1. The uncertainty is not available for this parameters, therefore it was repeated the data of 2020 and 2030</t>
  </si>
  <si>
    <t>Uncertainty (2030)</t>
  </si>
  <si>
    <r>
      <t>A.  One unit defined as a 40 feet container including LIB system and excluding power conversion system. Values for 2015-2030 are taken from Samsung SDI brochures for grid-connected LIBs from 2016 and 2018 [1,6]. This unit of 6MWh/3MW (0.5C) is a typical size grid scale battery for energy shift and peak shaving. The Specific investment cost under financial data is provided for a 1MWh : 0.5</t>
    </r>
    <r>
      <rPr>
        <sz val="10"/>
        <color theme="9"/>
        <rFont val="Montserrat Medium"/>
        <family val="3"/>
      </rPr>
      <t>MW (0.5C)</t>
    </r>
    <r>
      <rPr>
        <sz val="10"/>
        <color theme="1"/>
        <rFont val="Montserrat Medium"/>
        <family val="3"/>
      </rPr>
      <t xml:space="preserve"> battery. Cost examples of a 2MWh/8MW and a 16MWh/4MW battery are given in the section below. </t>
    </r>
  </si>
  <si>
    <t>B.   The AC roundtrip efficiency includes losses in the power electronics and is 2-4% lower than the DC roundtrip efficiency. The total roundtrip efficiency further includes standby losses making the total roundtrip efficiency typically ranging between 80% and 90% [8,9].</t>
  </si>
  <si>
    <t xml:space="preserve">C.  The C-rate is 0.5 during charge and can be up to 6 during discharge for the Samsung SDI batteries [1,6]. The presented conversion efficiencies assume average charge and discharge C-rates in 2015-2020 around 0.5. Higher C-rates during discharge will slightly decrease the efficiency. </t>
  </si>
  <si>
    <t>D.   Lithium-ion battery daily discharge loss. The central estimates for self-discharge of Li-ion batteries range between 0.05% and 0.20% a day in 2016 and are expected to stay flat to 2030.</t>
  </si>
  <si>
    <t xml:space="preserve">E.    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due to increased automation. </t>
  </si>
  <si>
    <t xml:space="preserve">F.  Current state-of-the-art NMC LIB has 20 years lifetime. The NMC lifetime is expected to have LTO lifetime by 2020 and 30 years lifetime for grid-connected LIBs in 2040 and 2050 as photovoltaic power systems have today [2,4,5,6]. </t>
  </si>
  <si>
    <t xml:space="preserve">G.  The response time is obtained from simulated response time experiments with hardware in the loop [19]. </t>
  </si>
  <si>
    <r>
      <t>H.     The system specific forecasts includes rack, TMS, BMS, EMS and PCS. The forecast is calculated as the sum of the PCS, the battery cell, and other costs. The system specific forecast is exclusive power cables to the site and entrepreneur work for installation of the containers [14,15].</t>
    </r>
    <r>
      <rPr>
        <sz val="10"/>
        <color rgb="FF1F497D"/>
        <rFont val="Montserrat Medium"/>
        <family val="3"/>
      </rPr>
      <t xml:space="preserve"> </t>
    </r>
    <r>
      <rPr>
        <sz val="10"/>
        <color theme="1"/>
        <rFont val="Montserrat Medium"/>
        <family val="3"/>
      </rPr>
      <t xml:space="preserve">The specific investment cost is the total cost of a 1MWh : 0.5MW (0.5C) battery.   </t>
    </r>
  </si>
  <si>
    <t xml:space="preserve">I.  Power conversion cost is strongly dependent on scalability and application. The PCS cost is based on references [20-22] and reflects the necessity for high power performance and compliance to grid codes to provide ancillary services, bidirectional electricity flow and two-stage conversion, as well as the early stage of development and the fact that few manufacturers can guarantee turnkey systems. Inverter replacement is expected every 10 years. The bidirectional inverter given here has more or less the same charge and discharge capacity (MW). </t>
  </si>
  <si>
    <r>
      <t xml:space="preserve">J.   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t>
    </r>
    <r>
      <rPr>
        <sz val="10"/>
        <color rgb="FFFF0000"/>
        <rFont val="Montserrat Medium"/>
        <family val="3"/>
      </rPr>
      <t>Estimates are aggregated from the literature [9,12,20]</t>
    </r>
    <r>
      <rPr>
        <sz val="10"/>
        <color theme="1"/>
        <rFont val="Montserrat Medium"/>
        <family val="3"/>
      </rPr>
      <t>.</t>
    </r>
  </si>
  <si>
    <t>K. Fixed O&amp;M is assumed to be constant, although the O&amp;M may depend on the application [9].</t>
  </si>
  <si>
    <t xml:space="preserve">L.  Variable O&amp;M is assumed to be 2.3 USD/MWh in 2015 with a range of 0.4 – 5.6 [21]. </t>
  </si>
  <si>
    <t>M.  Since multi-MWh LIB systems are scalar, the energy storage expansion cost is here estimated to be equal to the energy component plus the “other costs” [14,15].</t>
  </si>
  <si>
    <t>N.    Since multi-MW LIB systems are scalar, the capacity expansion cost equals the capacity component cost [20-22].</t>
  </si>
  <si>
    <t>O.  The alternative investment cost in MUSD2015/MW is specified for a 4C, 0.25 h system as for the Laurel Mountain, West Virginia, USA grid-scale LIB storage system [13]. I.e. the alternative investment cost is 25% of the energy storage expansion cost plus the PCS cost [13,14,15,20-22].</t>
  </si>
  <si>
    <t xml:space="preserve">P.   Cycle life specified as the number of cycles at 1C/1C to 80% state-of-health. Samsung SDI 2016 whitepaper on ESS solutions provide 15 year lifetime for current modules operating at C/2 to 3C [6]. Steady improvement in battery lifetime due to better materials and battery management is expected. Kokam ESS solutions are also rated at more than 8000-20000 cycles (80-90% DOD) based on chemistry [2].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[3,4,6]. </t>
  </si>
  <si>
    <t xml:space="preserve">Q.    Specific power, power density, Specific energy and energy density is provided for 0.5C reflecting the energy and power capacity in the datasheet. The expected development depends on the successive R&amp;D progress[1,10].  </t>
  </si>
  <si>
    <t>[1, 6]</t>
  </si>
  <si>
    <t>[2, 8, 9, 17]</t>
  </si>
  <si>
    <t>[7, 16, 18]</t>
  </si>
  <si>
    <t>[2, 4, 5, 6]</t>
  </si>
  <si>
    <t>[2-4, 6]</t>
  </si>
  <si>
    <t>[14, 15]</t>
  </si>
  <si>
    <t>[9, 12, 20]</t>
  </si>
  <si>
    <t>[13, 14, 15, 20-22]</t>
  </si>
  <si>
    <t>[1, 10]</t>
  </si>
  <si>
    <t>Exchange Rate  (USD/EUR)</t>
  </si>
  <si>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</si>
  <si>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</si>
  <si>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</si>
  <si>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r>
      <rPr>
        <b/>
        <sz val="10"/>
        <color theme="1"/>
        <rFont val="Montserrat Medium"/>
        <family val="3"/>
      </rPr>
      <t xml:space="preserve"> AC</t>
    </r>
  </si>
  <si>
    <r>
      <t xml:space="preserve">Round Trip Efficiency </t>
    </r>
    <r>
      <rPr>
        <sz val="10"/>
        <color theme="1"/>
        <rFont val="Montserrat Medium"/>
        <family val="3"/>
      </rPr>
      <t>(%)</t>
    </r>
    <r>
      <rPr>
        <b/>
        <sz val="10"/>
        <color theme="1"/>
        <rFont val="Montserrat Medium"/>
        <family val="3"/>
      </rPr>
      <t xml:space="preserve"> DC</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</si>
  <si>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</si>
  <si>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</si>
  <si>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</si>
  <si>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</si>
  <si>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</si>
  <si>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</si>
  <si>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</si>
  <si>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</si>
  <si>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</si>
  <si>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</si>
  <si>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</si>
  <si>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</si>
  <si>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t xml:space="preserve">Other Project Costs </t>
    </r>
    <r>
      <rPr>
        <sz val="10"/>
        <color theme="1"/>
        <rFont val="Montserrat Medium"/>
        <family val="3"/>
      </rPr>
      <t>(ME/MWh)</t>
    </r>
  </si>
  <si>
    <r>
      <t xml:space="preserve">Fixed O&amp;M </t>
    </r>
    <r>
      <rPr>
        <sz val="10"/>
        <color theme="1"/>
        <rFont val="Montserrat Medium"/>
        <family val="3"/>
      </rPr>
      <t>(MUSD2020/MW/year)</t>
    </r>
  </si>
  <si>
    <r>
      <t xml:space="preserve">Variable O&amp;M </t>
    </r>
    <r>
      <rPr>
        <sz val="10"/>
        <color theme="1"/>
        <rFont val="Montserrat Medium"/>
        <family val="3"/>
      </rPr>
      <t>(MUSD2020/MW/year)</t>
    </r>
  </si>
  <si>
    <r>
      <t xml:space="preserve">Energy storage expansion cost </t>
    </r>
    <r>
      <rPr>
        <sz val="10"/>
        <color theme="1"/>
        <rFont val="Montserrat Medium"/>
        <family val="3"/>
      </rPr>
      <t>(M$2015/MWh)</t>
    </r>
  </si>
  <si>
    <r>
      <t xml:space="preserve">Output capacity expansion cost </t>
    </r>
    <r>
      <rPr>
        <sz val="10"/>
        <color theme="1"/>
        <rFont val="Montserrat Medium"/>
        <family val="3"/>
      </rPr>
      <t>(M$2015/MW)</t>
    </r>
  </si>
  <si>
    <r>
      <t xml:space="preserve">Alternative Investment cost </t>
    </r>
    <r>
      <rPr>
        <sz val="10"/>
        <color theme="1"/>
        <rFont val="Montserrat Medium"/>
        <family val="3"/>
      </rPr>
      <t>(M$2015/MW)</t>
    </r>
  </si>
  <si>
    <r>
      <t xml:space="preserve">Specific power </t>
    </r>
    <r>
      <rPr>
        <sz val="10"/>
        <color theme="1"/>
        <rFont val="Montserrat Medium"/>
        <family val="3"/>
      </rPr>
      <t>(W/kg)</t>
    </r>
  </si>
  <si>
    <r>
      <t xml:space="preserve">Projection in according with the exchange ratio </t>
    </r>
    <r>
      <rPr>
        <sz val="10"/>
        <color theme="1"/>
        <rFont val="Montserrat Medium"/>
        <family val="3"/>
      </rPr>
      <t>(2030-2020 and 2050-2030)</t>
    </r>
  </si>
  <si>
    <r>
      <t xml:space="preserve">Round Trip Efficiency </t>
    </r>
    <r>
      <rPr>
        <sz val="10"/>
        <color theme="1"/>
        <rFont val="Montserrat Medium"/>
        <family val="3"/>
      </rPr>
      <t>(%) AC</t>
    </r>
  </si>
  <si>
    <r>
      <t>Energy Component (</t>
    </r>
    <r>
      <rPr>
        <sz val="10"/>
        <color theme="1"/>
        <rFont val="Montserrat Medium"/>
        <family val="3"/>
      </rPr>
      <t>MUSD/MWh)</t>
    </r>
  </si>
  <si>
    <r>
      <t>Capacity Componenet (</t>
    </r>
    <r>
      <rPr>
        <sz val="10"/>
        <color theme="1"/>
        <rFont val="Montserrat Medium"/>
        <family val="3"/>
      </rPr>
      <t>MUSD/MW)</t>
    </r>
  </si>
  <si>
    <r>
      <t xml:space="preserve">Other Project Cost </t>
    </r>
    <r>
      <rPr>
        <sz val="10"/>
        <color theme="1"/>
        <rFont val="Montserrat Medium"/>
        <family val="3"/>
      </rPr>
      <t>(MUSD/MWh)</t>
    </r>
  </si>
  <si>
    <r>
      <t xml:space="preserve">Variable O&amp;M </t>
    </r>
    <r>
      <rPr>
        <sz val="10"/>
        <color theme="1"/>
        <rFont val="Montserrat Medium"/>
        <family val="3"/>
      </rPr>
      <t>(USD2020/MWh)</t>
    </r>
  </si>
  <si>
    <r>
      <t>Energy Storage Expansion Cost</t>
    </r>
    <r>
      <rPr>
        <sz val="10"/>
        <color theme="1"/>
        <rFont val="Montserrat Medium"/>
        <family val="3"/>
      </rPr>
      <t xml:space="preserve"> (MUSD2020/MWh)</t>
    </r>
  </si>
  <si>
    <r>
      <t xml:space="preserve">Output Capacity Expansion Cost </t>
    </r>
    <r>
      <rPr>
        <sz val="10"/>
        <color theme="1"/>
        <rFont val="Montserrat Medium"/>
        <family val="3"/>
      </rPr>
      <t>(MUSD2020/MW)</t>
    </r>
  </si>
  <si>
    <r>
      <t xml:space="preserve">Alternative Investment Cost </t>
    </r>
    <r>
      <rPr>
        <sz val="10"/>
        <color theme="1"/>
        <rFont val="Montserrat Medium"/>
        <family val="3"/>
      </rPr>
      <t>(MUSD2020/MW)</t>
    </r>
  </si>
  <si>
    <r>
      <t xml:space="preserve">Specific Energy </t>
    </r>
    <r>
      <rPr>
        <sz val="10"/>
        <color theme="1"/>
        <rFont val="Montserrat Medium"/>
        <family val="3"/>
      </rPr>
      <t>(Wh/kg)</t>
    </r>
  </si>
  <si>
    <r>
      <t xml:space="preserve">Energy Density </t>
    </r>
    <r>
      <rPr>
        <sz val="10"/>
        <color theme="1"/>
        <rFont val="Montserrat Medium"/>
        <family val="3"/>
      </rPr>
      <t>(kWh/m3)</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</si>
  <si>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</si>
  <si>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</si>
  <si>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Power density </t>
    </r>
    <r>
      <rPr>
        <sz val="10"/>
        <color theme="1"/>
        <rFont val="Montserrat Medium"/>
        <family val="3"/>
      </rPr>
      <t>(kW/m3)</t>
    </r>
  </si>
  <si>
    <t>1. The uncertainty is calculated with the similar numerical behaviour from [1]. 
2. The exchange ratio for 2030 is estimated by linear regression between the exchange ratio 2020 and 2050.</t>
  </si>
  <si>
    <t>1. This technical data was calculated with a Specific Power equation (see Lithium ion sheet). 2. In the chapter of Introduccion of the Catalogue, it is defined the equation of Specific Power.</t>
  </si>
  <si>
    <t>1. This technical data was calculated with a Power Density equation (see Lithium Ion sheet). 2. In the chapter of Introduccion of the Catalogue, it is defined the equation of Power Density.</t>
  </si>
  <si>
    <t>1.  The data of years 2015, 2020, 2030, and 2050 showed in this sheets from [23]. 2. The selected data for 2020 is a point data types from [1, 6]. 3. The projections have similar numerical behavior to [23] with the estimated exchange ratio applied to estimated the projection of the value from [1, 6]</t>
  </si>
  <si>
    <t>1.  The data of years 2015, 2020, 2030, and 2050 showed in this sheets from [23]. 2. The selected data for 2020 is a point data types from [2, 8, 9, 17]. 3. The projections have similar numerical behavior to [23] with the estimated exchange ratio applied to estimated the projection of the value from [2, 8, 9, 17].</t>
  </si>
  <si>
    <t>1.  The data of years 2015, 2020, 2030, and 2050 showed in this sheets from [23]. 2. The selected data for 2020 is a point data types from [1]. 3. The projections have similar numerical behavior to [23] with the estimated exchange ratio applied to estimated the projection of the value from [1].</t>
  </si>
  <si>
    <t>1.  The data of years 2015, 2020, 2030, and 2050 showed in this sheets from [23]. 2. The selected data for 2020 is a point data types from [7, 16, 18]. 3. The projections have similar numerical behavior to [23] with the estimated exchange ratio applied to estimated the projection of the value from [7, 16, 18].</t>
  </si>
  <si>
    <t>1.  The data of years 2015, 2020, 2030, and 2050 showed in this sheets from [23]. 2. The exchange ratio is contant to 2030 and 2050, because it will not have a variation due its technological maturity.</t>
  </si>
  <si>
    <t>1.  The data of years 2015, 2020, 2030, and 2050 showed in this sheets from [23]. 2. The selected data for 2020 is a point data types from [2, 4, 5, 6]. 3. The projections have similar numerical behavior to [23] with the estimated exchange ratio applied to estimated the projection of the value from [2, 4, 5, 6].</t>
  </si>
  <si>
    <t>1.  The data of years 2015, 2020, 2030, and 2050 showed in this sheets from [23]. 2. The selected data for 2020 is a point data types from [11]. 3. The projections have similar numerical behavior to [23] with the estimated exchange ratio applied to estimated the projection of the value from [11].</t>
  </si>
  <si>
    <t>1.  The data of years 2015, 2020, 2030, and 2050 showed in this sheets from [23]. 2. The selected data for 2020 is a point data types from [2-4, 6]. 3. The projections have similar numerical behavior to [23] with the estimated exchange ratio applied to estimated the projection of the value from [2-4, 6].</t>
  </si>
  <si>
    <t>1.  The data of tha year 2020 is repeatead for 2030 and 2050 because it will not have a variation due to its technological maturity.</t>
  </si>
  <si>
    <t>1. This parameter data was calculated with an equation for Specific Investment (see Lithium Ion sheet). 2. In the chapter of Introduccion of the Catalogue, it is defined the equation of Specific Investment.</t>
  </si>
  <si>
    <t>1.  The data of years 2015, 2020, 2030, and 2050 showed in this sheets from [24]. 2. The selected data for 2020 is a point data types from [14]. 3. The projections have similar numerical behavior to [24] with the estimated exchange ratio applied to estimated the projection of the value from [14].</t>
  </si>
  <si>
    <r>
      <t xml:space="preserve">1.  The data of years 2015, 2020, 2030, and 2050 showed in this sheets from [23]. 2. The selected data for 2020 is a point data types from [9, 12, 20]. 3. The projections have similar numerical behavior to [23] with the estimated exchange ratio applied to estimated the projection of the value from </t>
    </r>
    <r>
      <rPr>
        <sz val="10"/>
        <color theme="1"/>
        <rFont val="Montserrat Medium"/>
      </rPr>
      <t>[9, 12, 20]</t>
    </r>
    <r>
      <rPr>
        <sz val="10"/>
        <color theme="1"/>
        <rFont val="Montserrat Medium"/>
        <family val="3"/>
      </rPr>
      <t>.</t>
    </r>
  </si>
  <si>
    <t>1.  The data of years 2015, 2020, 2030, and 2050 showed in this sheets from [23]. 2. The exchange ratio is constant to 2030 and 2050, because it will not have a variation due its technological maturity.</t>
  </si>
  <si>
    <t>1.  The data of years 2015, 2020, 2030, and 2050 showed in this sheets from [23]. 2. The exchange ratio is constant to 2030 and 2050, because it will not have a variation due its technological maturity.
2. The projection is an exchange ratio because there is no historical data.</t>
  </si>
  <si>
    <t>1.  The data of years 2015, 2020, 2030, and 2050 showed in this sheets from [23]. 2. The selected data for 2020 is a point data types from [21]. 3. The projections have similar numerical behavior to [23] with the estimated exchange ratio applied to estimated the projection of the value from [21].</t>
  </si>
  <si>
    <t>1.  The data of years 2015, 2020, 2030, and 2050 showed in this sheets from [23]. 2. The selected data for 2020 is a point data types from [14, 15]. 3. The projections have similar numerical behavior to [23] with the estimated exchange ratio applied to estimated the projection of the value from [14, 15].</t>
  </si>
  <si>
    <t>1.  The data of years 2015, 2020, 2030, and 2050 showed in this sheets from [23]. 2. The selected data for 2020 is a point data types from [20, 22]. 3. The projections have similar numerical behavior to [23] with the estimated exchange ratio applied to estimated the projection of the value from [20, 22].</t>
  </si>
  <si>
    <t>1.  The data of years 2015, 2020, 2030, and 2050 showed in this sheets from [23]. 2. The selected data for 2020 is a point data types from [13, 14, 15, 20-22]. 3. The projections have similar numerical behavior to [23] with the estimated exchange ratio applied to estimated the projection of the value from [13, 14, 15, 20-22].</t>
  </si>
  <si>
    <t>1. This technical data was calculated with a Specific Power equation (see Lithium Ion sheet). 2. In the chapter of Introduccion of the Catalogue, it is defined the equation of Specific Power.</t>
  </si>
  <si>
    <t>1.  The data of years 2015, 2020, 2030, and 2050 showed in this sheets from [23]. 2. The selected data for 2020 is a point data types from [1, 10]. 4. The projections have a similar numerical behaviour to [23] with the value from [1,10]</t>
  </si>
  <si>
    <t>Cálculo de peso, volumen y energía para Specific Energy and Energy Density</t>
  </si>
  <si>
    <t>Energy storage expansion cost (M$2020/MWh)</t>
  </si>
  <si>
    <t>Output capacity expansion cost (M$2020/MW)</t>
  </si>
  <si>
    <t>Alternative Investment cost (M$2020/MW)</t>
  </si>
  <si>
    <t>- Charge efficiency (%)</t>
  </si>
  <si>
    <t>Specific investment (MUSD2020 per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</si>
</sst>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000"/>
    <numFmt numFmtId="166" formatCode="0.000"/>
    <numFmt numFmtId="167" formatCode="0.0"/>
  </numFmts>
  <fonts count="32" x14ac:knownFonts="1">
    <font>
      <sz val="11"/>
      <color theme="1"/>
      <name val="Calibri"/>
      <family val="2"/>
      <scheme val="minor"/>
    </font>
    <font>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theme="1"/>
      <name val="Montserrat Medium"/>
      <family val="3"/>
    </font>
    <font>
      <b/>
      <sz val="8"/>
      <color theme="1"/>
      <name val="Montserrat Medium"/>
      <family val="3"/>
    </font>
    <font>
      <sz val="8"/>
      <color theme="1"/>
      <name val="Montserrat Medium"/>
      <family val="3"/>
    </font>
    <font>
      <i/>
      <sz val="11"/>
      <color theme="0" tint="-0.34998626667073579"/>
      <name val="Montserrat Medium"/>
      <family val="3"/>
    </font>
    <font>
      <b/>
      <sz val="6"/>
      <color theme="1"/>
      <name val="Montserrat Medium"/>
      <family val="3"/>
    </font>
    <font>
      <sz val="6"/>
      <color theme="1"/>
      <name val="Montserrat Medium"/>
      <family val="3"/>
    </font>
    <font>
      <b/>
      <sz val="11"/>
      <color theme="1"/>
      <name val="Montserrat Medium"/>
      <family val="3"/>
    </font>
    <font>
      <sz val="10"/>
      <color theme="1"/>
      <name val="Montserrat Medium"/>
      <family val="3"/>
    </font>
    <font>
      <sz val="10"/>
      <color theme="9"/>
      <name val="Montserrat Medium"/>
      <family val="3"/>
    </font>
    <font>
      <sz val="10"/>
      <color rgb="FF1F497D"/>
      <name val="Montserrat Medium"/>
      <family val="3"/>
    </font>
    <font>
      <sz val="10"/>
      <color rgb="FFFF0000"/>
      <name val="Montserrat Medium"/>
      <family val="3"/>
    </font>
    <font>
      <b/>
      <sz val="9"/>
      <color theme="1"/>
      <name val="Montserrat Medium"/>
      <family val="3"/>
    </font>
    <font>
      <sz val="9"/>
      <color theme="1"/>
      <name val="Montserrat Medium"/>
      <family val="3"/>
    </font>
    <font>
      <b/>
      <sz val="10"/>
      <color theme="1"/>
      <name val="Montserrat Medium"/>
      <family val="3"/>
    </font>
    <font>
      <sz val="10"/>
      <name val="Montserrat Medium"/>
      <family val="3"/>
    </font>
    <font>
      <sz val="10"/>
      <color rgb="FF000000"/>
      <name val="Montserrat Medium"/>
      <family val="3"/>
    </font>
    <font>
      <b/>
      <sz val="9"/>
      <color theme="1"/>
      <name val="Montserrat Medium"/>
    </font>
    <font>
      <b/>
      <sz val="11"/>
      <color theme="1"/>
      <name val="Montserrat Medium"/>
    </font>
    <font>
      <sz val="10"/>
      <color theme="1"/>
      <name val="Montserrat Medium"/>
    </font>
    <font>
      <sz val="9"/>
      <color rgb="FF000000"/>
      <name val="Montserrat Medium"/>
      <family val="3"/>
    </font>
    <font>
      <sz val="9"/>
      <color theme="1"/>
      <name val="Montserrat Medium"/>
    </font>
    <font>
      <i/>
      <sz val="9"/>
      <color theme="1"/>
      <name val="Montserrat Medium"/>
    </font>
  </fonts>
  <fills count="6">
    <fill>
      <patternFill patternType="none"/>
    </fill>
    <fill>
      <patternFill patternType="gray125"/>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3">
    <xf numFmtId="0" fontId="0" fillId="0" borderId="0"/>
    <xf numFmtId="43"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3" borderId="4" applyNumberFormat="0" applyAlignment="0" applyProtection="0"/>
    <xf numFmtId="43"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6" fillId="4" borderId="0" applyNumberFormat="0" applyBorder="0" applyAlignment="0" applyProtection="0"/>
    <xf numFmtId="0" fontId="7" fillId="0" borderId="0"/>
    <xf numFmtId="0" fontId="2" fillId="0" borderId="0"/>
    <xf numFmtId="0" fontId="7" fillId="0" borderId="0"/>
    <xf numFmtId="0" fontId="7" fillId="0" borderId="0"/>
    <xf numFmtId="0" fontId="8" fillId="5" borderId="5" applyNumberFormat="0" applyAlignment="0" applyProtection="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6" applyNumberFormat="0" applyFill="0" applyAlignment="0" applyProtection="0"/>
    <xf numFmtId="9" fontId="1" fillId="0" borderId="0" applyFont="0" applyFill="0" applyBorder="0" applyAlignment="0" applyProtection="0"/>
  </cellStyleXfs>
  <cellXfs count="112">
    <xf numFmtId="0" fontId="0" fillId="0" borderId="0" xfId="0"/>
    <xf numFmtId="0" fontId="10" fillId="0" borderId="0" xfId="0" applyFont="1"/>
    <xf numFmtId="0" fontId="13" fillId="0" borderId="0" xfId="0" applyFont="1"/>
    <xf numFmtId="0" fontId="14" fillId="2" borderId="0" xfId="0" applyFont="1" applyFill="1" applyBorder="1" applyAlignment="1">
      <alignment horizontal="left" vertical="center"/>
    </xf>
    <xf numFmtId="0" fontId="15" fillId="2" borderId="0" xfId="0" applyFont="1" applyFill="1" applyBorder="1" applyAlignment="1">
      <alignment vertical="center"/>
    </xf>
    <xf numFmtId="0" fontId="16" fillId="0" borderId="0" xfId="0" applyFont="1"/>
    <xf numFmtId="0" fontId="16" fillId="0" borderId="0" xfId="0" applyFont="1" applyAlignment="1">
      <alignment horizontal="left" vertical="center"/>
    </xf>
    <xf numFmtId="0" fontId="10" fillId="0" borderId="0" xfId="0" applyFont="1" applyAlignment="1">
      <alignment horizontal="left"/>
    </xf>
    <xf numFmtId="0" fontId="10" fillId="0" borderId="0" xfId="0" applyFont="1" applyFill="1"/>
    <xf numFmtId="0" fontId="10" fillId="0" borderId="0" xfId="0" applyFont="1" applyFill="1" applyAlignment="1">
      <alignment horizontal="left"/>
    </xf>
    <xf numFmtId="0" fontId="17" fillId="0" borderId="0" xfId="0" applyFont="1"/>
    <xf numFmtId="0" fontId="17" fillId="0" borderId="0" xfId="0" applyFont="1" applyAlignment="1">
      <alignment horizontal="left" vertical="center"/>
    </xf>
    <xf numFmtId="0" fontId="17" fillId="0" borderId="0" xfId="0" applyFont="1" applyFill="1"/>
    <xf numFmtId="0" fontId="17" fillId="0" borderId="0" xfId="0" applyFont="1" applyFill="1" applyAlignment="1">
      <alignment horizontal="left"/>
    </xf>
    <xf numFmtId="0" fontId="17" fillId="0" borderId="0" xfId="0" applyFont="1" applyFill="1" applyAlignment="1">
      <alignment horizontal="left" vertical="center"/>
    </xf>
    <xf numFmtId="0" fontId="21" fillId="2" borderId="0" xfId="0" applyFont="1" applyFill="1" applyBorder="1" applyAlignment="1">
      <alignment horizontal="right" vertical="center"/>
    </xf>
    <xf numFmtId="0" fontId="21" fillId="2" borderId="0" xfId="0" applyFont="1" applyFill="1" applyBorder="1" applyAlignment="1">
      <alignment vertical="center"/>
    </xf>
    <xf numFmtId="167" fontId="17" fillId="0" borderId="0" xfId="0" applyNumberFormat="1" applyFont="1" applyFill="1" applyAlignment="1">
      <alignment horizontal="center" vertical="center"/>
    </xf>
    <xf numFmtId="166" fontId="17" fillId="0" borderId="0" xfId="0" applyNumberFormat="1" applyFont="1" applyFill="1" applyAlignment="1">
      <alignment horizontal="center" vertical="center"/>
    </xf>
    <xf numFmtId="0" fontId="17" fillId="0" borderId="0" xfId="0" applyFont="1" applyFill="1" applyAlignment="1">
      <alignment horizontal="right"/>
    </xf>
    <xf numFmtId="0" fontId="23" fillId="0" borderId="1" xfId="0" applyFont="1" applyFill="1" applyBorder="1" applyAlignment="1">
      <alignment horizontal="left" vertical="center" wrapText="1"/>
    </xf>
    <xf numFmtId="166" fontId="17" fillId="0" borderId="1" xfId="22" applyNumberFormat="1" applyFont="1" applyFill="1" applyBorder="1" applyAlignment="1">
      <alignment horizontal="center" vertical="center"/>
    </xf>
    <xf numFmtId="0" fontId="26" fillId="0" borderId="14" xfId="0" applyFont="1" applyFill="1" applyBorder="1" applyAlignment="1">
      <alignment vertical="center"/>
    </xf>
    <xf numFmtId="0" fontId="17" fillId="0" borderId="14" xfId="0" applyFont="1" applyFill="1" applyBorder="1" applyAlignment="1">
      <alignment vertical="center" wrapText="1"/>
    </xf>
    <xf numFmtId="1" fontId="17" fillId="0" borderId="0" xfId="0" applyNumberFormat="1" applyFont="1" applyFill="1" applyAlignment="1">
      <alignment horizontal="center" vertical="center"/>
    </xf>
    <xf numFmtId="0" fontId="17" fillId="0" borderId="0" xfId="0" applyFont="1" applyFill="1" applyAlignment="1">
      <alignment horizontal="left" vertical="top" wrapText="1"/>
    </xf>
    <xf numFmtId="0" fontId="11"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166" fontId="17" fillId="0" borderId="0" xfId="0" applyNumberFormat="1" applyFont="1" applyFill="1" applyAlignment="1">
      <alignment horizontal="center" vertical="center" wrapText="1"/>
    </xf>
    <xf numFmtId="0" fontId="16" fillId="0" borderId="0" xfId="0" applyFont="1" applyFill="1"/>
    <xf numFmtId="0" fontId="16" fillId="0" borderId="0" xfId="0" applyFont="1" applyFill="1" applyAlignment="1">
      <alignment horizontal="left" vertical="center" wrapText="1"/>
    </xf>
    <xf numFmtId="0" fontId="10" fillId="0" borderId="0" xfId="0" applyFont="1" applyFill="1" applyAlignment="1">
      <alignment horizontal="center" vertical="center" wrapText="1"/>
    </xf>
    <xf numFmtId="0" fontId="16" fillId="0" borderId="0" xfId="0" applyFont="1" applyFill="1" applyAlignment="1">
      <alignment horizontal="center" vertical="center"/>
    </xf>
    <xf numFmtId="0" fontId="23" fillId="0" borderId="0" xfId="0" applyFont="1" applyFill="1" applyAlignment="1">
      <alignment horizontal="left" vertical="center" wrapText="1"/>
    </xf>
    <xf numFmtId="0" fontId="17" fillId="0" borderId="0" xfId="0" applyFont="1" applyFill="1" applyAlignment="1">
      <alignment horizontal="center" vertical="center" wrapText="1"/>
    </xf>
    <xf numFmtId="165" fontId="17" fillId="0" borderId="0" xfId="22" applyNumberFormat="1" applyFont="1" applyFill="1" applyAlignment="1">
      <alignment horizontal="center" vertical="center" wrapText="1"/>
    </xf>
    <xf numFmtId="167" fontId="17" fillId="0" borderId="0" xfId="0" applyNumberFormat="1" applyFont="1" applyFill="1" applyAlignment="1">
      <alignment horizontal="center" vertical="center" wrapText="1"/>
    </xf>
    <xf numFmtId="167" fontId="17" fillId="0" borderId="0" xfId="0" applyNumberFormat="1" applyFont="1" applyFill="1"/>
    <xf numFmtId="166" fontId="17" fillId="0" borderId="0" xfId="22" applyNumberFormat="1" applyFont="1" applyFill="1" applyAlignment="1">
      <alignment horizontal="center" vertical="center" wrapText="1"/>
    </xf>
    <xf numFmtId="2" fontId="17" fillId="0" borderId="0" xfId="22" applyNumberFormat="1" applyFont="1" applyFill="1" applyAlignment="1">
      <alignment horizontal="center" vertical="center" wrapText="1"/>
    </xf>
    <xf numFmtId="10" fontId="10" fillId="0" borderId="0" xfId="0" applyNumberFormat="1" applyFont="1" applyFill="1"/>
    <xf numFmtId="0" fontId="17" fillId="0" borderId="12" xfId="0" applyFont="1" applyFill="1" applyBorder="1" applyAlignment="1">
      <alignment vertical="center" wrapText="1"/>
    </xf>
    <xf numFmtId="2" fontId="17" fillId="0" borderId="0" xfId="0" applyNumberFormat="1" applyFont="1" applyFill="1" applyAlignment="1">
      <alignment horizontal="center" vertical="center" wrapText="1"/>
    </xf>
    <xf numFmtId="0" fontId="17" fillId="0" borderId="0" xfId="0" applyFont="1" applyFill="1" applyAlignment="1">
      <alignment horizontal="center" vertical="center"/>
    </xf>
    <xf numFmtId="0" fontId="21" fillId="0" borderId="0" xfId="0" applyFont="1" applyFill="1" applyAlignment="1">
      <alignment horizontal="center" vertical="center" wrapText="1"/>
    </xf>
    <xf numFmtId="0" fontId="22" fillId="0" borderId="0" xfId="0" applyFont="1" applyFill="1" applyAlignment="1">
      <alignment horizontal="center" vertical="center" wrapText="1"/>
    </xf>
    <xf numFmtId="1" fontId="17" fillId="0" borderId="0" xfId="0" applyNumberFormat="1" applyFont="1" applyFill="1" applyAlignment="1">
      <alignment horizontal="center" vertical="center" wrapText="1"/>
    </xf>
    <xf numFmtId="0" fontId="17" fillId="0" borderId="0" xfId="0" applyFont="1" applyFill="1" applyAlignment="1">
      <alignment vertical="top" wrapText="1"/>
    </xf>
    <xf numFmtId="0" fontId="17" fillId="0" borderId="12" xfId="0" applyFont="1" applyFill="1" applyBorder="1" applyAlignment="1">
      <alignment vertical="top" wrapText="1"/>
    </xf>
    <xf numFmtId="0" fontId="11" fillId="0" borderId="0" xfId="0" applyFont="1" applyFill="1" applyAlignment="1">
      <alignment horizontal="left" vertical="center" wrapText="1"/>
    </xf>
    <xf numFmtId="0" fontId="10" fillId="0" borderId="1" xfId="0" applyFont="1" applyFill="1" applyBorder="1" applyAlignment="1">
      <alignment horizontal="center" vertical="center"/>
    </xf>
    <xf numFmtId="0" fontId="25" fillId="0" borderId="0" xfId="0" applyFont="1" applyFill="1" applyAlignment="1">
      <alignment horizontal="right"/>
    </xf>
    <xf numFmtId="0" fontId="24" fillId="0" borderId="0" xfId="13" applyFont="1" applyFill="1" applyAlignment="1">
      <alignment horizontal="left" vertical="center"/>
    </xf>
    <xf numFmtId="0" fontId="17" fillId="0" borderId="0" xfId="0" applyFont="1" applyFill="1" applyAlignment="1">
      <alignment vertical="center" wrapText="1"/>
    </xf>
    <xf numFmtId="0" fontId="16" fillId="0" borderId="0" xfId="0" applyFont="1" applyFill="1" applyAlignment="1">
      <alignment vertical="center" wrapText="1"/>
    </xf>
    <xf numFmtId="0" fontId="10" fillId="0" borderId="0" xfId="0" applyFont="1" applyFill="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166" fontId="17" fillId="0" borderId="1" xfId="0" applyNumberFormat="1" applyFont="1" applyFill="1" applyBorder="1" applyAlignment="1">
      <alignment horizontal="center" vertical="center"/>
    </xf>
    <xf numFmtId="0" fontId="10" fillId="0" borderId="1" xfId="0" applyFont="1" applyFill="1" applyBorder="1"/>
    <xf numFmtId="0" fontId="17" fillId="0" borderId="1" xfId="0" applyFont="1" applyFill="1" applyBorder="1" applyAlignment="1">
      <alignment wrapText="1"/>
    </xf>
    <xf numFmtId="0" fontId="17" fillId="0" borderId="13" xfId="0" applyFont="1" applyFill="1" applyBorder="1" applyAlignment="1">
      <alignment horizontal="center" vertical="center"/>
    </xf>
    <xf numFmtId="0" fontId="17" fillId="0" borderId="1" xfId="0" applyFont="1" applyFill="1" applyBorder="1"/>
    <xf numFmtId="0" fontId="11" fillId="0" borderId="0" xfId="0" applyFont="1" applyFill="1" applyAlignment="1">
      <alignment horizontal="center" vertical="center" wrapText="1"/>
    </xf>
    <xf numFmtId="166" fontId="10" fillId="0" borderId="0" xfId="0" applyNumberFormat="1" applyFont="1" applyFill="1" applyAlignment="1">
      <alignment horizontal="center" vertical="center"/>
    </xf>
    <xf numFmtId="0" fontId="27" fillId="0" borderId="10" xfId="0" applyFont="1" applyFill="1" applyBorder="1" applyAlignment="1">
      <alignment vertical="center" wrapText="1"/>
    </xf>
    <xf numFmtId="0" fontId="12" fillId="0" borderId="0" xfId="0" applyFont="1" applyFill="1" applyAlignment="1">
      <alignment vertical="center" wrapText="1"/>
    </xf>
    <xf numFmtId="0" fontId="12" fillId="0" borderId="0" xfId="0" applyFont="1" applyFill="1" applyAlignment="1">
      <alignment vertical="center"/>
    </xf>
    <xf numFmtId="0" fontId="16" fillId="0" borderId="0" xfId="0" applyFont="1" applyFill="1" applyAlignment="1">
      <alignment vertical="center"/>
    </xf>
    <xf numFmtId="0" fontId="23" fillId="0" borderId="11" xfId="0" applyFont="1" applyFill="1" applyBorder="1" applyAlignment="1">
      <alignment vertical="top" wrapText="1"/>
    </xf>
    <xf numFmtId="0" fontId="23" fillId="0" borderId="0" xfId="0" applyFont="1" applyFill="1" applyAlignment="1">
      <alignment vertical="top"/>
    </xf>
    <xf numFmtId="0" fontId="23" fillId="0" borderId="11" xfId="0" applyFont="1" applyFill="1" applyBorder="1" applyAlignment="1">
      <alignment vertical="top"/>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21" fillId="0" borderId="1" xfId="0" applyFont="1" applyFill="1" applyBorder="1" applyAlignment="1">
      <alignment vertical="top"/>
    </xf>
    <xf numFmtId="2" fontId="29" fillId="0" borderId="1" xfId="0" applyNumberFormat="1" applyFont="1" applyFill="1" applyBorder="1" applyAlignment="1">
      <alignment horizontal="center" vertical="center" wrapText="1"/>
    </xf>
    <xf numFmtId="2" fontId="21" fillId="0" borderId="1" xfId="0" applyNumberFormat="1" applyFont="1" applyFill="1" applyBorder="1" applyAlignment="1">
      <alignment horizontal="left" vertical="top"/>
    </xf>
    <xf numFmtId="0" fontId="21" fillId="0" borderId="1" xfId="0" applyFont="1" applyFill="1" applyBorder="1" applyAlignment="1">
      <alignment horizontal="left" vertical="top"/>
    </xf>
    <xf numFmtId="0" fontId="30"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30" fillId="0" borderId="1" xfId="0" quotePrefix="1" applyFont="1" applyFill="1" applyBorder="1" applyAlignment="1">
      <alignment horizontal="left" vertical="center" wrapText="1"/>
    </xf>
    <xf numFmtId="0" fontId="22"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2" xfId="0" applyFont="1" applyFill="1" applyBorder="1" applyAlignment="1">
      <alignment horizontal="center" vertical="top" wrapText="1"/>
    </xf>
    <xf numFmtId="0" fontId="17" fillId="0" borderId="12" xfId="0" applyFont="1" applyFill="1" applyBorder="1" applyAlignment="1">
      <alignment horizontal="center" vertical="center" wrapText="1"/>
    </xf>
    <xf numFmtId="0" fontId="23" fillId="0" borderId="0" xfId="0" applyFont="1" applyFill="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6" fillId="0" borderId="0" xfId="0" applyFont="1" applyFill="1" applyAlignment="1">
      <alignment horizontal="left" vertical="center" wrapText="1"/>
    </xf>
    <xf numFmtId="0" fontId="17" fillId="0" borderId="8"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9" xfId="0" applyFont="1" applyFill="1" applyBorder="1" applyAlignment="1">
      <alignment horizontal="left" vertical="top" wrapText="1"/>
    </xf>
    <xf numFmtId="0" fontId="23"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xf>
  </cellXfs>
  <cellStyles count="23">
    <cellStyle name="Comma 2" xfId="1" xr:uid="{00000000-0005-0000-0000-000000000000}"/>
    <cellStyle name="Comma 3" xfId="2" xr:uid="{00000000-0005-0000-0000-000001000000}"/>
    <cellStyle name="Comma0 - Type3" xfId="3" xr:uid="{00000000-0005-0000-0000-000002000000}"/>
    <cellStyle name="Fixed2 - Type2" xfId="4" xr:uid="{00000000-0005-0000-0000-000003000000}"/>
    <cellStyle name="Hyperlink 2" xfId="5" xr:uid="{00000000-0005-0000-0000-000004000000}"/>
    <cellStyle name="Hyperlink 3" xfId="6" xr:uid="{00000000-0005-0000-0000-000005000000}"/>
    <cellStyle name="Input 2" xfId="7" xr:uid="{00000000-0005-0000-0000-000006000000}"/>
    <cellStyle name="Komma 2" xfId="8" xr:uid="{00000000-0005-0000-0000-000007000000}"/>
    <cellStyle name="Komma 3" xfId="9" xr:uid="{00000000-0005-0000-0000-000008000000}"/>
    <cellStyle name="Link 2" xfId="10" xr:uid="{00000000-0005-0000-0000-000009000000}"/>
    <cellStyle name="Neutral 2" xfId="11" xr:uid="{00000000-0005-0000-0000-00000A000000}"/>
    <cellStyle name="Normal" xfId="0" builtinId="0"/>
    <cellStyle name="Normal 10" xfId="12" xr:uid="{00000000-0005-0000-0000-00000C000000}"/>
    <cellStyle name="Normal 2" xfId="13" xr:uid="{00000000-0005-0000-0000-00000D000000}"/>
    <cellStyle name="Normal 6" xfId="14" xr:uid="{00000000-0005-0000-0000-00000E000000}"/>
    <cellStyle name="Normal 6 2" xfId="15" xr:uid="{00000000-0005-0000-0000-00000F000000}"/>
    <cellStyle name="Output 2" xfId="16" xr:uid="{00000000-0005-0000-0000-000010000000}"/>
    <cellStyle name="Percen - Type1" xfId="17" xr:uid="{00000000-0005-0000-0000-000011000000}"/>
    <cellStyle name="Percent 2" xfId="18" xr:uid="{00000000-0005-0000-0000-000012000000}"/>
    <cellStyle name="Porcentaje" xfId="22" builtinId="5"/>
    <cellStyle name="Procent 2" xfId="19" xr:uid="{00000000-0005-0000-0000-000014000000}"/>
    <cellStyle name="Procent 3" xfId="20" xr:uid="{00000000-0005-0000-0000-000015000000}"/>
    <cellStyle name="Total 2" xfId="2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5.xml"/><Relationship Id="rId26" Type="http://schemas.openxmlformats.org/officeDocument/2006/relationships/chartsheet" Target="chartsheets/sheet23.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hartsheet" Target="chartsheets/sheet18.xml"/><Relationship Id="rId34" Type="http://schemas.openxmlformats.org/officeDocument/2006/relationships/chartsheet" Target="chartsheets/sheet31.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hartsheet" Target="chartsheets/sheet14.xml"/><Relationship Id="rId25" Type="http://schemas.openxmlformats.org/officeDocument/2006/relationships/chartsheet" Target="chartsheets/sheet22.xml"/><Relationship Id="rId33" Type="http://schemas.openxmlformats.org/officeDocument/2006/relationships/chartsheet" Target="chartsheets/sheet30.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13.xml"/><Relationship Id="rId20" Type="http://schemas.openxmlformats.org/officeDocument/2006/relationships/chartsheet" Target="chartsheets/sheet17.xml"/><Relationship Id="rId29" Type="http://schemas.openxmlformats.org/officeDocument/2006/relationships/chartsheet" Target="chartsheets/sheet26.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chartsheet" Target="chartsheets/sheet21.xml"/><Relationship Id="rId32" Type="http://schemas.openxmlformats.org/officeDocument/2006/relationships/chartsheet" Target="chartsheets/sheet2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chartsheet" Target="chartsheets/sheet2.xml"/><Relationship Id="rId15" Type="http://schemas.openxmlformats.org/officeDocument/2006/relationships/chartsheet" Target="chartsheets/sheet12.xml"/><Relationship Id="rId23" Type="http://schemas.openxmlformats.org/officeDocument/2006/relationships/chartsheet" Target="chartsheets/sheet20.xml"/><Relationship Id="rId28" Type="http://schemas.openxmlformats.org/officeDocument/2006/relationships/chartsheet" Target="chartsheets/sheet25.xml"/><Relationship Id="rId36" Type="http://schemas.openxmlformats.org/officeDocument/2006/relationships/externalLink" Target="externalLinks/externalLink2.xml"/><Relationship Id="rId10" Type="http://schemas.openxmlformats.org/officeDocument/2006/relationships/chartsheet" Target="chartsheets/sheet7.xml"/><Relationship Id="rId19" Type="http://schemas.openxmlformats.org/officeDocument/2006/relationships/chartsheet" Target="chartsheets/sheet16.xml"/><Relationship Id="rId31" Type="http://schemas.openxmlformats.org/officeDocument/2006/relationships/chartsheet" Target="chartsheets/sheet28.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hartsheet" Target="chartsheets/sheet19.xml"/><Relationship Id="rId27" Type="http://schemas.openxmlformats.org/officeDocument/2006/relationships/chartsheet" Target="chartsheets/sheet24.xml"/><Relationship Id="rId30" Type="http://schemas.openxmlformats.org/officeDocument/2006/relationships/chartsheet" Target="chartsheets/sheet27.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9.7722426273514768E-2"/>
                  <c:y val="0.5904771376090234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Uncertanties!$R$2:$R$3</c:f>
              <c:numCache>
                <c:formatCode>General</c:formatCode>
                <c:ptCount val="2"/>
                <c:pt idx="0">
                  <c:v>2020</c:v>
                </c:pt>
                <c:pt idx="1">
                  <c:v>2050</c:v>
                </c:pt>
              </c:numCache>
            </c:numRef>
          </c:xVal>
          <c:yVal>
            <c:numRef>
              <c:f>Uncertanties!$S$2:$S$3</c:f>
              <c:numCache>
                <c:formatCode>0.000</c:formatCode>
                <c:ptCount val="2"/>
                <c:pt idx="0">
                  <c:v>-0.16666666666666666</c:v>
                </c:pt>
                <c:pt idx="1">
                  <c:v>-0.125</c:v>
                </c:pt>
              </c:numCache>
            </c:numRef>
          </c:yVal>
          <c:smooth val="1"/>
          <c:extLst>
            <c:ext xmlns:c16="http://schemas.microsoft.com/office/drawing/2014/chart" uri="{C3380CC4-5D6E-409C-BE32-E72D297353CC}">
              <c16:uniqueId val="{00000000-605F-415B-AFA4-BB94B9DA0575}"/>
            </c:ext>
          </c:extLst>
        </c:ser>
        <c:dLbls>
          <c:showLegendKey val="0"/>
          <c:showVal val="0"/>
          <c:showCatName val="0"/>
          <c:showSerName val="0"/>
          <c:showPercent val="0"/>
          <c:showBubbleSize val="0"/>
        </c:dLbls>
        <c:axId val="109222912"/>
        <c:axId val="109886848"/>
      </c:scatterChart>
      <c:valAx>
        <c:axId val="109222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86848"/>
        <c:crosses val="autoZero"/>
        <c:crossBetween val="midCat"/>
      </c:valAx>
      <c:valAx>
        <c:axId val="109886848"/>
        <c:scaling>
          <c:orientation val="minMax"/>
          <c:max val="-0.120000000000000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2229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0640336778932395"/>
                  <c:y val="0.5635145143898240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Uncertanties!$U$8:$U$9</c:f>
              <c:numCache>
                <c:formatCode>General</c:formatCode>
                <c:ptCount val="2"/>
                <c:pt idx="0">
                  <c:v>2020</c:v>
                </c:pt>
                <c:pt idx="1">
                  <c:v>2050</c:v>
                </c:pt>
              </c:numCache>
            </c:numRef>
          </c:xVal>
          <c:yVal>
            <c:numRef>
              <c:f>Uncertanties!$W$8:$W$9</c:f>
              <c:numCache>
                <c:formatCode>0.000</c:formatCode>
                <c:ptCount val="2"/>
                <c:pt idx="0">
                  <c:v>0.25</c:v>
                </c:pt>
                <c:pt idx="1">
                  <c:v>0.5</c:v>
                </c:pt>
              </c:numCache>
            </c:numRef>
          </c:yVal>
          <c:smooth val="1"/>
          <c:extLst>
            <c:ext xmlns:c16="http://schemas.microsoft.com/office/drawing/2014/chart" uri="{C3380CC4-5D6E-409C-BE32-E72D297353CC}">
              <c16:uniqueId val="{00000000-5B27-4C48-AE9A-46F691AE18BE}"/>
            </c:ext>
          </c:extLst>
        </c:ser>
        <c:dLbls>
          <c:showLegendKey val="0"/>
          <c:showVal val="0"/>
          <c:showCatName val="0"/>
          <c:showSerName val="0"/>
          <c:showPercent val="0"/>
          <c:showBubbleSize val="0"/>
        </c:dLbls>
        <c:axId val="141216384"/>
        <c:axId val="141222272"/>
      </c:scatterChart>
      <c:valAx>
        <c:axId val="141216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222272"/>
        <c:crosses val="autoZero"/>
        <c:crossBetween val="midCat"/>
      </c:valAx>
      <c:valAx>
        <c:axId val="141222272"/>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216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1491057302910005E-3"/>
                  <c:y val="5.5818171376610617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Uncertanties!$X$8:$X$9</c:f>
              <c:numCache>
                <c:formatCode>General</c:formatCode>
                <c:ptCount val="2"/>
                <c:pt idx="0">
                  <c:v>2020</c:v>
                </c:pt>
                <c:pt idx="1">
                  <c:v>2050</c:v>
                </c:pt>
              </c:numCache>
            </c:numRef>
          </c:xVal>
          <c:yVal>
            <c:numRef>
              <c:f>Uncertanties!$Y$8:$Y$9</c:f>
              <c:numCache>
                <c:formatCode>0.000</c:formatCode>
                <c:ptCount val="2"/>
                <c:pt idx="0">
                  <c:v>0</c:v>
                </c:pt>
                <c:pt idx="1">
                  <c:v>-0.5</c:v>
                </c:pt>
              </c:numCache>
            </c:numRef>
          </c:yVal>
          <c:smooth val="1"/>
          <c:extLst>
            <c:ext xmlns:c16="http://schemas.microsoft.com/office/drawing/2014/chart" uri="{C3380CC4-5D6E-409C-BE32-E72D297353CC}">
              <c16:uniqueId val="{00000000-1D03-49C6-8BDB-5313D2488C0C}"/>
            </c:ext>
          </c:extLst>
        </c:ser>
        <c:dLbls>
          <c:showLegendKey val="0"/>
          <c:showVal val="0"/>
          <c:showCatName val="0"/>
          <c:showSerName val="0"/>
          <c:showPercent val="0"/>
          <c:showBubbleSize val="0"/>
        </c:dLbls>
        <c:axId val="141576064"/>
        <c:axId val="141577600"/>
      </c:scatterChart>
      <c:valAx>
        <c:axId val="141576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577600"/>
        <c:crosses val="autoZero"/>
        <c:crossBetween val="midCat"/>
      </c:valAx>
      <c:valAx>
        <c:axId val="14157760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576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9.7751088085327315E-2"/>
                  <c:y val="0.5024107688082504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Uncertanties!$R$11:$R$12</c:f>
              <c:numCache>
                <c:formatCode>General</c:formatCode>
                <c:ptCount val="2"/>
                <c:pt idx="0">
                  <c:v>2020</c:v>
                </c:pt>
                <c:pt idx="1">
                  <c:v>2050</c:v>
                </c:pt>
              </c:numCache>
            </c:numRef>
          </c:xVal>
          <c:yVal>
            <c:numRef>
              <c:f>Uncertanties!$S$11:$S$12</c:f>
              <c:numCache>
                <c:formatCode>0.000</c:formatCode>
                <c:ptCount val="2"/>
                <c:pt idx="0">
                  <c:v>-0.46969696969696967</c:v>
                </c:pt>
                <c:pt idx="1">
                  <c:v>-0.25714285714285723</c:v>
                </c:pt>
              </c:numCache>
            </c:numRef>
          </c:yVal>
          <c:smooth val="1"/>
          <c:extLst>
            <c:ext xmlns:c16="http://schemas.microsoft.com/office/drawing/2014/chart" uri="{C3380CC4-5D6E-409C-BE32-E72D297353CC}">
              <c16:uniqueId val="{00000000-F6FD-4913-86CC-29A314213D23}"/>
            </c:ext>
          </c:extLst>
        </c:ser>
        <c:dLbls>
          <c:showLegendKey val="0"/>
          <c:showVal val="0"/>
          <c:showCatName val="0"/>
          <c:showSerName val="0"/>
          <c:showPercent val="0"/>
          <c:showBubbleSize val="0"/>
        </c:dLbls>
        <c:axId val="141984896"/>
        <c:axId val="141986432"/>
      </c:scatterChart>
      <c:valAx>
        <c:axId val="141984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986432"/>
        <c:crosses val="autoZero"/>
        <c:crossBetween val="midCat"/>
      </c:valAx>
      <c:valAx>
        <c:axId val="14198643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984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0291213094199941"/>
                  <c:y val="0.5403144950385109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Uncertanties!$R$11:$R$12</c:f>
              <c:numCache>
                <c:formatCode>General</c:formatCode>
                <c:ptCount val="2"/>
                <c:pt idx="0">
                  <c:v>2020</c:v>
                </c:pt>
                <c:pt idx="1">
                  <c:v>2050</c:v>
                </c:pt>
              </c:numCache>
            </c:numRef>
          </c:xVal>
          <c:yVal>
            <c:numRef>
              <c:f>Uncertanties!$T$11:$T$12</c:f>
              <c:numCache>
                <c:formatCode>0.000</c:formatCode>
                <c:ptCount val="2"/>
                <c:pt idx="0">
                  <c:v>0.43181818181818177</c:v>
                </c:pt>
                <c:pt idx="1">
                  <c:v>2.2857142857142856</c:v>
                </c:pt>
              </c:numCache>
            </c:numRef>
          </c:yVal>
          <c:smooth val="1"/>
          <c:extLst>
            <c:ext xmlns:c16="http://schemas.microsoft.com/office/drawing/2014/chart" uri="{C3380CC4-5D6E-409C-BE32-E72D297353CC}">
              <c16:uniqueId val="{00000000-9277-4B06-B7B2-06AB4D3622D8}"/>
            </c:ext>
          </c:extLst>
        </c:ser>
        <c:dLbls>
          <c:showLegendKey val="0"/>
          <c:showVal val="0"/>
          <c:showCatName val="0"/>
          <c:showSerName val="0"/>
          <c:showPercent val="0"/>
          <c:showBubbleSize val="0"/>
        </c:dLbls>
        <c:axId val="142999936"/>
        <c:axId val="143001472"/>
      </c:scatterChart>
      <c:valAx>
        <c:axId val="142999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001472"/>
        <c:crosses val="autoZero"/>
        <c:crossBetween val="midCat"/>
      </c:valAx>
      <c:valAx>
        <c:axId val="14300147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999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797919432450655"/>
                  <c:y val="-4.249127092874948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Uncertanties!$U$11:$U$12</c:f>
              <c:numCache>
                <c:formatCode>General</c:formatCode>
                <c:ptCount val="2"/>
                <c:pt idx="0">
                  <c:v>2020</c:v>
                </c:pt>
                <c:pt idx="1">
                  <c:v>2050</c:v>
                </c:pt>
              </c:numCache>
            </c:numRef>
          </c:xVal>
          <c:yVal>
            <c:numRef>
              <c:f>Uncertanties!$V$11:$V$12</c:f>
              <c:numCache>
                <c:formatCode>0.000</c:formatCode>
                <c:ptCount val="2"/>
                <c:pt idx="0">
                  <c:v>-0.1111111111111112</c:v>
                </c:pt>
                <c:pt idx="1">
                  <c:v>-0.33333333333333331</c:v>
                </c:pt>
              </c:numCache>
            </c:numRef>
          </c:yVal>
          <c:smooth val="1"/>
          <c:extLst>
            <c:ext xmlns:c16="http://schemas.microsoft.com/office/drawing/2014/chart" uri="{C3380CC4-5D6E-409C-BE32-E72D297353CC}">
              <c16:uniqueId val="{00000000-6AA1-4D6E-AC97-219AE6C93FAB}"/>
            </c:ext>
          </c:extLst>
        </c:ser>
        <c:dLbls>
          <c:showLegendKey val="0"/>
          <c:showVal val="0"/>
          <c:showCatName val="0"/>
          <c:showSerName val="0"/>
          <c:showPercent val="0"/>
          <c:showBubbleSize val="0"/>
        </c:dLbls>
        <c:axId val="143043968"/>
        <c:axId val="143049856"/>
      </c:scatterChart>
      <c:valAx>
        <c:axId val="143043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049856"/>
        <c:crosses val="autoZero"/>
        <c:crossBetween val="midCat"/>
      </c:valAx>
      <c:valAx>
        <c:axId val="143049856"/>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0439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8671614017307354E-2"/>
                  <c:y val="0.56200343354165061"/>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Uncertanties!$U$11:$U$12</c:f>
              <c:numCache>
                <c:formatCode>General</c:formatCode>
                <c:ptCount val="2"/>
                <c:pt idx="0">
                  <c:v>2020</c:v>
                </c:pt>
                <c:pt idx="1">
                  <c:v>2050</c:v>
                </c:pt>
              </c:numCache>
            </c:numRef>
          </c:xVal>
          <c:yVal>
            <c:numRef>
              <c:f>Uncertanties!$W$11:$W$12</c:f>
              <c:numCache>
                <c:formatCode>0.000</c:formatCode>
                <c:ptCount val="2"/>
                <c:pt idx="0">
                  <c:v>0.88888888888888884</c:v>
                </c:pt>
                <c:pt idx="1">
                  <c:v>3.166666666666667</c:v>
                </c:pt>
              </c:numCache>
            </c:numRef>
          </c:yVal>
          <c:smooth val="1"/>
          <c:extLst>
            <c:ext xmlns:c16="http://schemas.microsoft.com/office/drawing/2014/chart" uri="{C3380CC4-5D6E-409C-BE32-E72D297353CC}">
              <c16:uniqueId val="{00000000-917E-4197-B6F0-5B721E2903AC}"/>
            </c:ext>
          </c:extLst>
        </c:ser>
        <c:dLbls>
          <c:showLegendKey val="0"/>
          <c:showVal val="0"/>
          <c:showCatName val="0"/>
          <c:showSerName val="0"/>
          <c:showPercent val="0"/>
          <c:showBubbleSize val="0"/>
        </c:dLbls>
        <c:axId val="143256192"/>
        <c:axId val="143409536"/>
      </c:scatterChart>
      <c:valAx>
        <c:axId val="143256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409536"/>
        <c:crosses val="autoZero"/>
        <c:crossBetween val="midCat"/>
      </c:valAx>
      <c:valAx>
        <c:axId val="143409536"/>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2561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797919432450655"/>
                  <c:y val="-5.4941767521947529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Uncertanties!$X$11:$X$12</c:f>
              <c:numCache>
                <c:formatCode>General</c:formatCode>
                <c:ptCount val="2"/>
                <c:pt idx="0">
                  <c:v>2020</c:v>
                </c:pt>
                <c:pt idx="1">
                  <c:v>2050</c:v>
                </c:pt>
              </c:numCache>
            </c:numRef>
          </c:xVal>
          <c:yVal>
            <c:numRef>
              <c:f>Uncertanties!$Y$11:$Y$12</c:f>
              <c:numCache>
                <c:formatCode>0.000</c:formatCode>
                <c:ptCount val="2"/>
                <c:pt idx="0">
                  <c:v>-0.10000000000000009</c:v>
                </c:pt>
                <c:pt idx="1">
                  <c:v>-0.5</c:v>
                </c:pt>
              </c:numCache>
            </c:numRef>
          </c:yVal>
          <c:smooth val="1"/>
          <c:extLst>
            <c:ext xmlns:c16="http://schemas.microsoft.com/office/drawing/2014/chart" uri="{C3380CC4-5D6E-409C-BE32-E72D297353CC}">
              <c16:uniqueId val="{00000000-3AB2-427B-99A2-C3BC4E3AE9C9}"/>
            </c:ext>
          </c:extLst>
        </c:ser>
        <c:dLbls>
          <c:showLegendKey val="0"/>
          <c:showVal val="0"/>
          <c:showCatName val="0"/>
          <c:showSerName val="0"/>
          <c:showPercent val="0"/>
          <c:showBubbleSize val="0"/>
        </c:dLbls>
        <c:axId val="143464320"/>
        <c:axId val="143465856"/>
      </c:scatterChart>
      <c:valAx>
        <c:axId val="143464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465856"/>
        <c:crosses val="autoZero"/>
        <c:crossBetween val="midCat"/>
      </c:valAx>
      <c:valAx>
        <c:axId val="14346585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464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4957381288873326E-3"/>
                  <c:y val="0.6313670303978521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Uncertanties!$X$11:$X$12</c:f>
              <c:numCache>
                <c:formatCode>General</c:formatCode>
                <c:ptCount val="2"/>
                <c:pt idx="0">
                  <c:v>2020</c:v>
                </c:pt>
                <c:pt idx="1">
                  <c:v>2050</c:v>
                </c:pt>
              </c:numCache>
            </c:numRef>
          </c:xVal>
          <c:yVal>
            <c:numRef>
              <c:f>Uncertanties!$Z$11:$Z$12</c:f>
              <c:numCache>
                <c:formatCode>0.000</c:formatCode>
                <c:ptCount val="2"/>
                <c:pt idx="0">
                  <c:v>9.999999999999995E-2</c:v>
                </c:pt>
                <c:pt idx="1">
                  <c:v>1.7500000000000002</c:v>
                </c:pt>
              </c:numCache>
            </c:numRef>
          </c:yVal>
          <c:smooth val="1"/>
          <c:extLst>
            <c:ext xmlns:c16="http://schemas.microsoft.com/office/drawing/2014/chart" uri="{C3380CC4-5D6E-409C-BE32-E72D297353CC}">
              <c16:uniqueId val="{00000000-8C44-4F3E-8C20-84D2F28AE4EE}"/>
            </c:ext>
          </c:extLst>
        </c:ser>
        <c:dLbls>
          <c:showLegendKey val="0"/>
          <c:showVal val="0"/>
          <c:showCatName val="0"/>
          <c:showSerName val="0"/>
          <c:showPercent val="0"/>
          <c:showBubbleSize val="0"/>
        </c:dLbls>
        <c:axId val="143881344"/>
        <c:axId val="143882880"/>
      </c:scatterChart>
      <c:valAx>
        <c:axId val="143881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82880"/>
        <c:crosses val="autoZero"/>
        <c:crossBetween val="midCat"/>
      </c:valAx>
      <c:valAx>
        <c:axId val="14388288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813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3708034580340165"/>
                  <c:y val="-0.13270705946102315"/>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Uncertanties!$R$14:$R$15</c:f>
              <c:numCache>
                <c:formatCode>General</c:formatCode>
                <c:ptCount val="2"/>
                <c:pt idx="0">
                  <c:v>2020</c:v>
                </c:pt>
                <c:pt idx="1">
                  <c:v>2050</c:v>
                </c:pt>
              </c:numCache>
            </c:numRef>
          </c:xVal>
          <c:yVal>
            <c:numRef>
              <c:f>Uncertanties!$S$14:$S$15</c:f>
              <c:numCache>
                <c:formatCode>0.000</c:formatCode>
                <c:ptCount val="2"/>
                <c:pt idx="0">
                  <c:v>-0.16666666666666671</c:v>
                </c:pt>
                <c:pt idx="1">
                  <c:v>-0.25925925925925924</c:v>
                </c:pt>
              </c:numCache>
            </c:numRef>
          </c:yVal>
          <c:smooth val="1"/>
          <c:extLst>
            <c:ext xmlns:c16="http://schemas.microsoft.com/office/drawing/2014/chart" uri="{C3380CC4-5D6E-409C-BE32-E72D297353CC}">
              <c16:uniqueId val="{00000000-4EAE-414C-9330-9662901D9C60}"/>
            </c:ext>
          </c:extLst>
        </c:ser>
        <c:dLbls>
          <c:showLegendKey val="0"/>
          <c:showVal val="0"/>
          <c:showCatName val="0"/>
          <c:showSerName val="0"/>
          <c:showPercent val="0"/>
          <c:showBubbleSize val="0"/>
        </c:dLbls>
        <c:axId val="144023936"/>
        <c:axId val="144025472"/>
      </c:scatterChart>
      <c:valAx>
        <c:axId val="144023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4025472"/>
        <c:crosses val="autoZero"/>
        <c:crossBetween val="midCat"/>
      </c:valAx>
      <c:valAx>
        <c:axId val="144025472"/>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4023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525166553753417"/>
                  <c:y val="-7.6644363839570379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Uncertanties!$U$14:$U$15</c:f>
              <c:numCache>
                <c:formatCode>General</c:formatCode>
                <c:ptCount val="2"/>
                <c:pt idx="0">
                  <c:v>2020</c:v>
                </c:pt>
                <c:pt idx="1">
                  <c:v>2050</c:v>
                </c:pt>
              </c:numCache>
            </c:numRef>
          </c:xVal>
          <c:yVal>
            <c:numRef>
              <c:f>Uncertanties!$V$14:$V$15</c:f>
              <c:numCache>
                <c:formatCode>0.000</c:formatCode>
                <c:ptCount val="2"/>
                <c:pt idx="0">
                  <c:v>-0.8</c:v>
                </c:pt>
                <c:pt idx="1">
                  <c:v>-0.8125</c:v>
                </c:pt>
              </c:numCache>
            </c:numRef>
          </c:yVal>
          <c:smooth val="1"/>
          <c:extLst>
            <c:ext xmlns:c16="http://schemas.microsoft.com/office/drawing/2014/chart" uri="{C3380CC4-5D6E-409C-BE32-E72D297353CC}">
              <c16:uniqueId val="{00000000-2DC4-4C6C-9025-D5E573095795}"/>
            </c:ext>
          </c:extLst>
        </c:ser>
        <c:dLbls>
          <c:showLegendKey val="0"/>
          <c:showVal val="0"/>
          <c:showCatName val="0"/>
          <c:showSerName val="0"/>
          <c:showPercent val="0"/>
          <c:showBubbleSize val="0"/>
        </c:dLbls>
        <c:axId val="109632896"/>
        <c:axId val="109634688"/>
      </c:scatterChart>
      <c:valAx>
        <c:axId val="109632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34688"/>
        <c:crosses val="autoZero"/>
        <c:crossBetween val="midCat"/>
      </c:valAx>
      <c:valAx>
        <c:axId val="1096346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32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9568501724410374E-2"/>
                  <c:y val="0.6194246703242184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Uncertanties!$U$2:$U$3</c:f>
              <c:numCache>
                <c:formatCode>General</c:formatCode>
                <c:ptCount val="2"/>
                <c:pt idx="0">
                  <c:v>2020</c:v>
                </c:pt>
                <c:pt idx="1">
                  <c:v>2050</c:v>
                </c:pt>
              </c:numCache>
            </c:numRef>
          </c:xVal>
          <c:yVal>
            <c:numRef>
              <c:f>Uncertanties!$V$2:$V$3</c:f>
              <c:numCache>
                <c:formatCode>0.000</c:formatCode>
                <c:ptCount val="2"/>
                <c:pt idx="0">
                  <c:v>-0.1111111111111111</c:v>
                </c:pt>
                <c:pt idx="1">
                  <c:v>-8.3333333333333329E-2</c:v>
                </c:pt>
              </c:numCache>
            </c:numRef>
          </c:yVal>
          <c:smooth val="1"/>
          <c:extLst>
            <c:ext xmlns:c16="http://schemas.microsoft.com/office/drawing/2014/chart" uri="{C3380CC4-5D6E-409C-BE32-E72D297353CC}">
              <c16:uniqueId val="{00000000-9D3B-462E-AD4E-4C7698782FD3}"/>
            </c:ext>
          </c:extLst>
        </c:ser>
        <c:dLbls>
          <c:showLegendKey val="0"/>
          <c:showVal val="0"/>
          <c:showCatName val="0"/>
          <c:showSerName val="0"/>
          <c:showPercent val="0"/>
          <c:showBubbleSize val="0"/>
        </c:dLbls>
        <c:axId val="128946944"/>
        <c:axId val="133660672"/>
      </c:scatterChart>
      <c:valAx>
        <c:axId val="128946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660672"/>
        <c:crosses val="autoZero"/>
        <c:crossBetween val="midCat"/>
      </c:valAx>
      <c:valAx>
        <c:axId val="133660672"/>
        <c:scaling>
          <c:orientation val="minMax"/>
          <c:max val="-8.0000000000000016E-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89469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5887608203160949"/>
                  <c:y val="-6.9701915730626438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Uncertanties!$U$14:$U$15</c:f>
              <c:numCache>
                <c:formatCode>General</c:formatCode>
                <c:ptCount val="2"/>
                <c:pt idx="0">
                  <c:v>2020</c:v>
                </c:pt>
                <c:pt idx="1">
                  <c:v>2050</c:v>
                </c:pt>
              </c:numCache>
            </c:numRef>
          </c:xVal>
          <c:yVal>
            <c:numRef>
              <c:f>Uncertanties!$W$14:$W$15</c:f>
              <c:numCache>
                <c:formatCode>0.000</c:formatCode>
                <c:ptCount val="2"/>
                <c:pt idx="0">
                  <c:v>1.7999999999999998</c:v>
                </c:pt>
                <c:pt idx="1">
                  <c:v>0.56249999999999989</c:v>
                </c:pt>
              </c:numCache>
            </c:numRef>
          </c:yVal>
          <c:smooth val="1"/>
          <c:extLst>
            <c:ext xmlns:c16="http://schemas.microsoft.com/office/drawing/2014/chart" uri="{C3380CC4-5D6E-409C-BE32-E72D297353CC}">
              <c16:uniqueId val="{00000000-05C6-4BC6-8E85-368C0C635456}"/>
            </c:ext>
          </c:extLst>
        </c:ser>
        <c:dLbls>
          <c:showLegendKey val="0"/>
          <c:showVal val="0"/>
          <c:showCatName val="0"/>
          <c:showSerName val="0"/>
          <c:showPercent val="0"/>
          <c:showBubbleSize val="0"/>
        </c:dLbls>
        <c:axId val="108305024"/>
        <c:axId val="108306816"/>
      </c:scatterChart>
      <c:valAx>
        <c:axId val="108305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306816"/>
        <c:crosses val="autoZero"/>
        <c:crossBetween val="midCat"/>
      </c:valAx>
      <c:valAx>
        <c:axId val="108306816"/>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305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3207048750496511"/>
                  <c:y val="-1.805118784316287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Uncertanties!$X$14:$X$15</c:f>
              <c:numCache>
                <c:formatCode>General</c:formatCode>
                <c:ptCount val="2"/>
                <c:pt idx="0">
                  <c:v>2020</c:v>
                </c:pt>
                <c:pt idx="1">
                  <c:v>2050</c:v>
                </c:pt>
              </c:numCache>
            </c:numRef>
          </c:xVal>
          <c:yVal>
            <c:numRef>
              <c:f>Uncertanties!$Y$14:$Y$15</c:f>
              <c:numCache>
                <c:formatCode>0.000</c:formatCode>
                <c:ptCount val="2"/>
                <c:pt idx="0">
                  <c:v>-0.31034482758620691</c:v>
                </c:pt>
                <c:pt idx="1">
                  <c:v>-0.38666666666666666</c:v>
                </c:pt>
              </c:numCache>
            </c:numRef>
          </c:yVal>
          <c:smooth val="1"/>
          <c:extLst>
            <c:ext xmlns:c16="http://schemas.microsoft.com/office/drawing/2014/chart" uri="{C3380CC4-5D6E-409C-BE32-E72D297353CC}">
              <c16:uniqueId val="{00000000-6591-49FD-B7BF-25A7D81F9F06}"/>
            </c:ext>
          </c:extLst>
        </c:ser>
        <c:dLbls>
          <c:showLegendKey val="0"/>
          <c:showVal val="0"/>
          <c:showCatName val="0"/>
          <c:showSerName val="0"/>
          <c:showPercent val="0"/>
          <c:showBubbleSize val="0"/>
        </c:dLbls>
        <c:axId val="109103360"/>
        <c:axId val="109109248"/>
      </c:scatterChart>
      <c:valAx>
        <c:axId val="109103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09248"/>
        <c:crosses val="autoZero"/>
        <c:crossBetween val="midCat"/>
      </c:valAx>
      <c:valAx>
        <c:axId val="109109248"/>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033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6087675661176065E-2"/>
                  <c:y val="0.57088627861908636"/>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Uncertanties!$X$14:$X$15</c:f>
              <c:numCache>
                <c:formatCode>General</c:formatCode>
                <c:ptCount val="2"/>
                <c:pt idx="0">
                  <c:v>2020</c:v>
                </c:pt>
                <c:pt idx="1">
                  <c:v>2050</c:v>
                </c:pt>
              </c:numCache>
            </c:numRef>
          </c:xVal>
          <c:yVal>
            <c:numRef>
              <c:f>Uncertanties!$Z$14:$Z$15</c:f>
              <c:numCache>
                <c:formatCode>0.000</c:formatCode>
                <c:ptCount val="2"/>
                <c:pt idx="0">
                  <c:v>0.11637931034482757</c:v>
                </c:pt>
                <c:pt idx="1">
                  <c:v>1.3466666666666667</c:v>
                </c:pt>
              </c:numCache>
            </c:numRef>
          </c:yVal>
          <c:smooth val="1"/>
          <c:extLst>
            <c:ext xmlns:c16="http://schemas.microsoft.com/office/drawing/2014/chart" uri="{C3380CC4-5D6E-409C-BE32-E72D297353CC}">
              <c16:uniqueId val="{00000000-C708-4A81-973F-26D05C2B7F5E}"/>
            </c:ext>
          </c:extLst>
        </c:ser>
        <c:dLbls>
          <c:showLegendKey val="0"/>
          <c:showVal val="0"/>
          <c:showCatName val="0"/>
          <c:showSerName val="0"/>
          <c:showPercent val="0"/>
          <c:showBubbleSize val="0"/>
        </c:dLbls>
        <c:axId val="108496384"/>
        <c:axId val="108497920"/>
      </c:scatterChart>
      <c:valAx>
        <c:axId val="108496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97920"/>
        <c:crosses val="autoZero"/>
        <c:crossBetween val="midCat"/>
      </c:valAx>
      <c:valAx>
        <c:axId val="10849792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96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3070672311147893"/>
                  <c:y val="-4.249127092874948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Uncertanties!$R$17:$R$18</c:f>
              <c:numCache>
                <c:formatCode>General</c:formatCode>
                <c:ptCount val="2"/>
                <c:pt idx="0">
                  <c:v>2020</c:v>
                </c:pt>
                <c:pt idx="1">
                  <c:v>2050</c:v>
                </c:pt>
              </c:numCache>
            </c:numRef>
          </c:xVal>
          <c:yVal>
            <c:numRef>
              <c:f>Uncertanties!$S$17:$S$18</c:f>
              <c:numCache>
                <c:formatCode>0.000</c:formatCode>
                <c:ptCount val="2"/>
                <c:pt idx="0">
                  <c:v>-0.1111111111111112</c:v>
                </c:pt>
                <c:pt idx="1">
                  <c:v>-0.33333333333333331</c:v>
                </c:pt>
              </c:numCache>
            </c:numRef>
          </c:yVal>
          <c:smooth val="1"/>
          <c:extLst>
            <c:ext xmlns:c16="http://schemas.microsoft.com/office/drawing/2014/chart" uri="{C3380CC4-5D6E-409C-BE32-E72D297353CC}">
              <c16:uniqueId val="{00000000-DDC2-4DED-AE91-58C457129EAE}"/>
            </c:ext>
          </c:extLst>
        </c:ser>
        <c:dLbls>
          <c:showLegendKey val="0"/>
          <c:showVal val="0"/>
          <c:showCatName val="0"/>
          <c:showSerName val="0"/>
          <c:showPercent val="0"/>
          <c:showBubbleSize val="0"/>
        </c:dLbls>
        <c:axId val="109560576"/>
        <c:axId val="109562112"/>
      </c:scatterChart>
      <c:valAx>
        <c:axId val="109560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562112"/>
        <c:crosses val="autoZero"/>
        <c:crossBetween val="midCat"/>
      </c:valAx>
      <c:valAx>
        <c:axId val="109562112"/>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5605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4580320836848682E-2"/>
                  <c:y val="0.55364419287006139"/>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Uncertanties!$R$17:$R$18</c:f>
              <c:numCache>
                <c:formatCode>General</c:formatCode>
                <c:ptCount val="2"/>
                <c:pt idx="0">
                  <c:v>2020</c:v>
                </c:pt>
                <c:pt idx="1">
                  <c:v>2050</c:v>
                </c:pt>
              </c:numCache>
            </c:numRef>
          </c:xVal>
          <c:yVal>
            <c:numRef>
              <c:f>Uncertanties!$T$17:$T$18</c:f>
              <c:numCache>
                <c:formatCode>0.000</c:formatCode>
                <c:ptCount val="2"/>
                <c:pt idx="0">
                  <c:v>0.88888888888888884</c:v>
                </c:pt>
                <c:pt idx="1">
                  <c:v>3.166666666666667</c:v>
                </c:pt>
              </c:numCache>
            </c:numRef>
          </c:yVal>
          <c:smooth val="1"/>
          <c:extLst>
            <c:ext xmlns:c16="http://schemas.microsoft.com/office/drawing/2014/chart" uri="{C3380CC4-5D6E-409C-BE32-E72D297353CC}">
              <c16:uniqueId val="{00000000-A349-4FD6-BDD8-A3BAA878F172}"/>
            </c:ext>
          </c:extLst>
        </c:ser>
        <c:dLbls>
          <c:showLegendKey val="0"/>
          <c:showVal val="0"/>
          <c:showCatName val="0"/>
          <c:showSerName val="0"/>
          <c:showPercent val="0"/>
          <c:showBubbleSize val="0"/>
        </c:dLbls>
        <c:axId val="109137920"/>
        <c:axId val="109139456"/>
      </c:scatterChart>
      <c:valAx>
        <c:axId val="109137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39456"/>
        <c:crosses val="autoZero"/>
        <c:crossBetween val="midCat"/>
      </c:valAx>
      <c:valAx>
        <c:axId val="109139456"/>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379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0571376475321931"/>
                  <c:y val="-0.1340799166445481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Uncertanties!$U$17:$U$18</c:f>
              <c:numCache>
                <c:formatCode>General</c:formatCode>
                <c:ptCount val="2"/>
                <c:pt idx="0">
                  <c:v>2020</c:v>
                </c:pt>
                <c:pt idx="1">
                  <c:v>2050</c:v>
                </c:pt>
              </c:numCache>
            </c:numRef>
          </c:xVal>
          <c:yVal>
            <c:numRef>
              <c:f>Uncertanties!$V$17:$V$18</c:f>
              <c:numCache>
                <c:formatCode>0.000</c:formatCode>
                <c:ptCount val="2"/>
                <c:pt idx="0">
                  <c:v>-0.15151515151515146</c:v>
                </c:pt>
                <c:pt idx="1">
                  <c:v>-0.375</c:v>
                </c:pt>
              </c:numCache>
            </c:numRef>
          </c:yVal>
          <c:smooth val="1"/>
          <c:extLst>
            <c:ext xmlns:c16="http://schemas.microsoft.com/office/drawing/2014/chart" uri="{C3380CC4-5D6E-409C-BE32-E72D297353CC}">
              <c16:uniqueId val="{00000000-D863-4FD5-AFA9-AC0966A7401C}"/>
            </c:ext>
          </c:extLst>
        </c:ser>
        <c:dLbls>
          <c:showLegendKey val="0"/>
          <c:showVal val="0"/>
          <c:showCatName val="0"/>
          <c:showSerName val="0"/>
          <c:showPercent val="0"/>
          <c:showBubbleSize val="0"/>
        </c:dLbls>
        <c:axId val="109742720"/>
        <c:axId val="109748608"/>
      </c:scatterChart>
      <c:valAx>
        <c:axId val="109742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748608"/>
        <c:crosses val="autoZero"/>
        <c:crossBetween val="midCat"/>
      </c:valAx>
      <c:valAx>
        <c:axId val="109748608"/>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742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578912508500708E-2"/>
                  <c:y val="0.5757088035474773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Uncertanties!$U$17:$U$18</c:f>
              <c:numCache>
                <c:formatCode>General</c:formatCode>
                <c:ptCount val="2"/>
                <c:pt idx="0">
                  <c:v>2020</c:v>
                </c:pt>
                <c:pt idx="1">
                  <c:v>2050</c:v>
                </c:pt>
              </c:numCache>
            </c:numRef>
          </c:xVal>
          <c:yVal>
            <c:numRef>
              <c:f>Uncertanties!$W$17:$W$18</c:f>
              <c:numCache>
                <c:formatCode>0.000</c:formatCode>
                <c:ptCount val="2"/>
                <c:pt idx="0">
                  <c:v>0.75757575757575735</c:v>
                </c:pt>
                <c:pt idx="1">
                  <c:v>2.8749999999999996</c:v>
                </c:pt>
              </c:numCache>
            </c:numRef>
          </c:yVal>
          <c:smooth val="1"/>
          <c:extLst>
            <c:ext xmlns:c16="http://schemas.microsoft.com/office/drawing/2014/chart" uri="{C3380CC4-5D6E-409C-BE32-E72D297353CC}">
              <c16:uniqueId val="{00000000-9BE7-4DE0-B673-B41DD4DAD078}"/>
            </c:ext>
          </c:extLst>
        </c:ser>
        <c:dLbls>
          <c:showLegendKey val="0"/>
          <c:showVal val="0"/>
          <c:showCatName val="0"/>
          <c:showSerName val="0"/>
          <c:showPercent val="0"/>
          <c:showBubbleSize val="0"/>
        </c:dLbls>
        <c:axId val="109647744"/>
        <c:axId val="109649280"/>
      </c:scatterChart>
      <c:valAx>
        <c:axId val="109647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9280"/>
        <c:crosses val="autoZero"/>
        <c:crossBetween val="midCat"/>
      </c:valAx>
      <c:valAx>
        <c:axId val="109649280"/>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77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5661824658771653"/>
                  <c:y val="-5.4758621166288497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Uncertanties!$X$17:$X$18</c:f>
              <c:numCache>
                <c:formatCode>General</c:formatCode>
                <c:ptCount val="2"/>
                <c:pt idx="0">
                  <c:v>2020</c:v>
                </c:pt>
                <c:pt idx="1">
                  <c:v>2050</c:v>
                </c:pt>
              </c:numCache>
            </c:numRef>
          </c:xVal>
          <c:yVal>
            <c:numRef>
              <c:f>Uncertanties!$Y$17:$Y$18</c:f>
              <c:numCache>
                <c:formatCode>0.000</c:formatCode>
                <c:ptCount val="2"/>
                <c:pt idx="0">
                  <c:v>-0.2857142857142857</c:v>
                </c:pt>
                <c:pt idx="1">
                  <c:v>-0.6</c:v>
                </c:pt>
              </c:numCache>
            </c:numRef>
          </c:yVal>
          <c:smooth val="1"/>
          <c:extLst>
            <c:ext xmlns:c16="http://schemas.microsoft.com/office/drawing/2014/chart" uri="{C3380CC4-5D6E-409C-BE32-E72D297353CC}">
              <c16:uniqueId val="{00000000-6363-48FA-9BED-29A9E1E07E5F}"/>
            </c:ext>
          </c:extLst>
        </c:ser>
        <c:dLbls>
          <c:showLegendKey val="0"/>
          <c:showVal val="0"/>
          <c:showCatName val="0"/>
          <c:showSerName val="0"/>
          <c:showPercent val="0"/>
          <c:showBubbleSize val="0"/>
        </c:dLbls>
        <c:axId val="108434560"/>
        <c:axId val="108436096"/>
      </c:scatterChart>
      <c:valAx>
        <c:axId val="108434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36096"/>
        <c:crosses val="autoZero"/>
        <c:crossBetween val="midCat"/>
      </c:valAx>
      <c:valAx>
        <c:axId val="10843609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345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3216556443362699E-2"/>
                  <c:y val="0.56769413472561858"/>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Uncertanties!$X$17:$X$18</c:f>
              <c:numCache>
                <c:formatCode>General</c:formatCode>
                <c:ptCount val="2"/>
                <c:pt idx="0">
                  <c:v>2020</c:v>
                </c:pt>
                <c:pt idx="1">
                  <c:v>2050</c:v>
                </c:pt>
              </c:numCache>
            </c:numRef>
          </c:xVal>
          <c:yVal>
            <c:numRef>
              <c:f>Uncertanties!$Z$17:$Z$18</c:f>
              <c:numCache>
                <c:formatCode>0.000</c:formatCode>
                <c:ptCount val="2"/>
                <c:pt idx="0">
                  <c:v>0.14285714285714285</c:v>
                </c:pt>
                <c:pt idx="1">
                  <c:v>0.4</c:v>
                </c:pt>
              </c:numCache>
            </c:numRef>
          </c:yVal>
          <c:smooth val="1"/>
          <c:extLst>
            <c:ext xmlns:c16="http://schemas.microsoft.com/office/drawing/2014/chart" uri="{C3380CC4-5D6E-409C-BE32-E72D297353CC}">
              <c16:uniqueId val="{00000000-DAFB-47BD-AFD7-927E1A34DB97}"/>
            </c:ext>
          </c:extLst>
        </c:ser>
        <c:dLbls>
          <c:showLegendKey val="0"/>
          <c:showVal val="0"/>
          <c:showCatName val="0"/>
          <c:showSerName val="0"/>
          <c:showPercent val="0"/>
          <c:showBubbleSize val="0"/>
        </c:dLbls>
        <c:axId val="108016384"/>
        <c:axId val="108017920"/>
      </c:scatterChart>
      <c:valAx>
        <c:axId val="108016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017920"/>
        <c:crosses val="autoZero"/>
        <c:crossBetween val="midCat"/>
      </c:valAx>
      <c:valAx>
        <c:axId val="108017920"/>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016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7253822003404254"/>
                  <c:y val="-0.1622270267744175"/>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Uncertanties!$R$20:$R$21</c:f>
              <c:numCache>
                <c:formatCode>General</c:formatCode>
                <c:ptCount val="2"/>
                <c:pt idx="0">
                  <c:v>2020</c:v>
                </c:pt>
                <c:pt idx="1">
                  <c:v>2050</c:v>
                </c:pt>
              </c:numCache>
            </c:numRef>
          </c:xVal>
          <c:yVal>
            <c:numRef>
              <c:f>Uncertanties!$S$20:$S$21</c:f>
              <c:numCache>
                <c:formatCode>0.000</c:formatCode>
                <c:ptCount val="2"/>
                <c:pt idx="0">
                  <c:v>-7.6190476190476197E-2</c:v>
                </c:pt>
                <c:pt idx="1">
                  <c:v>-0.28229665071770332</c:v>
                </c:pt>
              </c:numCache>
            </c:numRef>
          </c:yVal>
          <c:smooth val="1"/>
          <c:extLst>
            <c:ext xmlns:c16="http://schemas.microsoft.com/office/drawing/2014/chart" uri="{C3380CC4-5D6E-409C-BE32-E72D297353CC}">
              <c16:uniqueId val="{00000000-668B-44C7-8DAF-C026E89F9DBD}"/>
            </c:ext>
          </c:extLst>
        </c:ser>
        <c:dLbls>
          <c:showLegendKey val="0"/>
          <c:showVal val="0"/>
          <c:showCatName val="0"/>
          <c:showSerName val="0"/>
          <c:showPercent val="0"/>
          <c:showBubbleSize val="0"/>
        </c:dLbls>
        <c:axId val="119635328"/>
        <c:axId val="119645312"/>
      </c:scatterChart>
      <c:valAx>
        <c:axId val="119635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9645312"/>
        <c:crosses val="autoZero"/>
        <c:crossBetween val="midCat"/>
      </c:valAx>
      <c:valAx>
        <c:axId val="11964531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96353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1399142804279626E-2"/>
                  <c:y val="0.56863537206108106"/>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Uncertanties!$X$2:$X$3</c:f>
              <c:numCache>
                <c:formatCode>General</c:formatCode>
                <c:ptCount val="2"/>
                <c:pt idx="0">
                  <c:v>2020</c:v>
                </c:pt>
                <c:pt idx="1">
                  <c:v>2050</c:v>
                </c:pt>
              </c:numCache>
            </c:numRef>
          </c:xVal>
          <c:yVal>
            <c:numRef>
              <c:f>Uncertanties!$Z$2:$Z$3</c:f>
              <c:numCache>
                <c:formatCode>0.000</c:formatCode>
                <c:ptCount val="2"/>
                <c:pt idx="0">
                  <c:v>1.098901098901099E-2</c:v>
                </c:pt>
                <c:pt idx="1">
                  <c:v>2.1739130434782608E-2</c:v>
                </c:pt>
              </c:numCache>
            </c:numRef>
          </c:yVal>
          <c:smooth val="1"/>
          <c:extLst>
            <c:ext xmlns:c16="http://schemas.microsoft.com/office/drawing/2014/chart" uri="{C3380CC4-5D6E-409C-BE32-E72D297353CC}">
              <c16:uniqueId val="{00000000-4B68-4150-B19C-D25660F42A6E}"/>
            </c:ext>
          </c:extLst>
        </c:ser>
        <c:dLbls>
          <c:showLegendKey val="0"/>
          <c:showVal val="0"/>
          <c:showCatName val="0"/>
          <c:showSerName val="0"/>
          <c:showPercent val="0"/>
          <c:showBubbleSize val="0"/>
        </c:dLbls>
        <c:axId val="133489024"/>
        <c:axId val="133490560"/>
      </c:scatterChart>
      <c:valAx>
        <c:axId val="133489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490560"/>
        <c:crosses val="autoZero"/>
        <c:crossBetween val="midCat"/>
      </c:valAx>
      <c:valAx>
        <c:axId val="133490560"/>
        <c:scaling>
          <c:orientation val="minMax"/>
          <c:min val="5.000000000000001E-3"/>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489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548761932804214E-2"/>
                  <c:y val="0.46416888825554659"/>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Uncertanties!$R$20:$R$21</c:f>
              <c:numCache>
                <c:formatCode>General</c:formatCode>
                <c:ptCount val="2"/>
                <c:pt idx="0">
                  <c:v>2020</c:v>
                </c:pt>
                <c:pt idx="1">
                  <c:v>2050</c:v>
                </c:pt>
              </c:numCache>
            </c:numRef>
          </c:xVal>
          <c:yVal>
            <c:numRef>
              <c:f>Uncertanties!$T$20:$T$21</c:f>
              <c:numCache>
                <c:formatCode>0.000</c:formatCode>
                <c:ptCount val="2"/>
                <c:pt idx="0">
                  <c:v>0.33333333333333331</c:v>
                </c:pt>
                <c:pt idx="1">
                  <c:v>0.4354066985645933</c:v>
                </c:pt>
              </c:numCache>
            </c:numRef>
          </c:yVal>
          <c:smooth val="1"/>
          <c:extLst>
            <c:ext xmlns:c16="http://schemas.microsoft.com/office/drawing/2014/chart" uri="{C3380CC4-5D6E-409C-BE32-E72D297353CC}">
              <c16:uniqueId val="{00000000-1A92-49C3-B96F-B0BD34576005}"/>
            </c:ext>
          </c:extLst>
        </c:ser>
        <c:dLbls>
          <c:showLegendKey val="0"/>
          <c:showVal val="0"/>
          <c:showCatName val="0"/>
          <c:showSerName val="0"/>
          <c:showPercent val="0"/>
          <c:showBubbleSize val="0"/>
        </c:dLbls>
        <c:axId val="131148416"/>
        <c:axId val="131154304"/>
      </c:scatterChart>
      <c:valAx>
        <c:axId val="131148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154304"/>
        <c:crosses val="autoZero"/>
        <c:crossBetween val="midCat"/>
      </c:valAx>
      <c:valAx>
        <c:axId val="131154304"/>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148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084412935401917"/>
                  <c:y val="-0.11208343048756587"/>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Uncertanties!$U$20:$U$21</c:f>
              <c:numCache>
                <c:formatCode>General</c:formatCode>
                <c:ptCount val="2"/>
                <c:pt idx="0">
                  <c:v>2020</c:v>
                </c:pt>
                <c:pt idx="1">
                  <c:v>2050</c:v>
                </c:pt>
              </c:numCache>
            </c:numRef>
          </c:xVal>
          <c:yVal>
            <c:numRef>
              <c:f>Uncertanties!$V$20:$V$21</c:f>
              <c:numCache>
                <c:formatCode>0.000</c:formatCode>
                <c:ptCount val="2"/>
                <c:pt idx="0">
                  <c:v>-6.9230769230769235E-2</c:v>
                </c:pt>
                <c:pt idx="1">
                  <c:v>-0.33461538461538459</c:v>
                </c:pt>
              </c:numCache>
            </c:numRef>
          </c:yVal>
          <c:smooth val="1"/>
          <c:extLst>
            <c:ext xmlns:c16="http://schemas.microsoft.com/office/drawing/2014/chart" uri="{C3380CC4-5D6E-409C-BE32-E72D297353CC}">
              <c16:uniqueId val="{00000000-6B09-4AF6-8038-396DF5579C9E}"/>
            </c:ext>
          </c:extLst>
        </c:ser>
        <c:dLbls>
          <c:showLegendKey val="0"/>
          <c:showVal val="0"/>
          <c:showCatName val="0"/>
          <c:showSerName val="0"/>
          <c:showPercent val="0"/>
          <c:showBubbleSize val="0"/>
        </c:dLbls>
        <c:axId val="131635072"/>
        <c:axId val="131636608"/>
      </c:scatterChart>
      <c:valAx>
        <c:axId val="131635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636608"/>
        <c:crosses val="autoZero"/>
        <c:crossBetween val="midCat"/>
      </c:valAx>
      <c:valAx>
        <c:axId val="13163660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6350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102502572091861"/>
                  <c:y val="-5.061602502638179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Uncertanties!$R$5:$R$6</c:f>
              <c:numCache>
                <c:formatCode>General</c:formatCode>
                <c:ptCount val="2"/>
                <c:pt idx="0">
                  <c:v>2020</c:v>
                </c:pt>
                <c:pt idx="1">
                  <c:v>2050</c:v>
                </c:pt>
              </c:numCache>
            </c:numRef>
          </c:xVal>
          <c:yVal>
            <c:numRef>
              <c:f>Uncertanties!$S$5:$S$6</c:f>
              <c:numCache>
                <c:formatCode>0.000</c:formatCode>
                <c:ptCount val="2"/>
                <c:pt idx="0">
                  <c:v>0</c:v>
                </c:pt>
                <c:pt idx="1">
                  <c:v>-5.076142131979695E-3</c:v>
                </c:pt>
              </c:numCache>
            </c:numRef>
          </c:yVal>
          <c:smooth val="1"/>
          <c:extLst>
            <c:ext xmlns:c16="http://schemas.microsoft.com/office/drawing/2014/chart" uri="{C3380CC4-5D6E-409C-BE32-E72D297353CC}">
              <c16:uniqueId val="{00000000-C7D0-4CCA-A89B-024C52C959C3}"/>
            </c:ext>
          </c:extLst>
        </c:ser>
        <c:dLbls>
          <c:showLegendKey val="0"/>
          <c:showVal val="0"/>
          <c:showCatName val="0"/>
          <c:showSerName val="0"/>
          <c:showPercent val="0"/>
          <c:showBubbleSize val="0"/>
        </c:dLbls>
        <c:axId val="133787008"/>
        <c:axId val="133796992"/>
      </c:scatterChart>
      <c:valAx>
        <c:axId val="13378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796992"/>
        <c:crosses val="autoZero"/>
        <c:crossBetween val="midCat"/>
      </c:valAx>
      <c:valAx>
        <c:axId val="13379699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7870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1141511602896718E-2"/>
                  <c:y val="-3.3610071371131034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Uncertanties!$U$5:$U$6</c:f>
              <c:numCache>
                <c:formatCode>General</c:formatCode>
                <c:ptCount val="2"/>
                <c:pt idx="0">
                  <c:v>2020</c:v>
                </c:pt>
                <c:pt idx="1">
                  <c:v>2050</c:v>
                </c:pt>
              </c:numCache>
            </c:numRef>
          </c:xVal>
          <c:yVal>
            <c:numRef>
              <c:f>Uncertanties!$W$5:$W$6</c:f>
              <c:numCache>
                <c:formatCode>0.000</c:formatCode>
                <c:ptCount val="2"/>
                <c:pt idx="0">
                  <c:v>1</c:v>
                </c:pt>
                <c:pt idx="1">
                  <c:v>0.49999999999999989</c:v>
                </c:pt>
              </c:numCache>
            </c:numRef>
          </c:yVal>
          <c:smooth val="1"/>
          <c:extLst>
            <c:ext xmlns:c16="http://schemas.microsoft.com/office/drawing/2014/chart" uri="{C3380CC4-5D6E-409C-BE32-E72D297353CC}">
              <c16:uniqueId val="{00000000-6296-4219-B2AA-67A71BAE0BEA}"/>
            </c:ext>
          </c:extLst>
        </c:ser>
        <c:dLbls>
          <c:showLegendKey val="0"/>
          <c:showVal val="0"/>
          <c:showCatName val="0"/>
          <c:showSerName val="0"/>
          <c:showPercent val="0"/>
          <c:showBubbleSize val="0"/>
        </c:dLbls>
        <c:axId val="139590272"/>
        <c:axId val="140448128"/>
      </c:scatterChart>
      <c:valAx>
        <c:axId val="139590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448128"/>
        <c:crosses val="autoZero"/>
        <c:crossBetween val="midCat"/>
      </c:valAx>
      <c:valAx>
        <c:axId val="140448128"/>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95902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8424393600014777E-2"/>
                  <c:y val="6.4903415391567076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Uncertanties!$X$5:$X$6</c:f>
              <c:numCache>
                <c:formatCode>General</c:formatCode>
                <c:ptCount val="2"/>
                <c:pt idx="0">
                  <c:v>2020</c:v>
                </c:pt>
                <c:pt idx="1">
                  <c:v>2050</c:v>
                </c:pt>
              </c:numCache>
            </c:numRef>
          </c:xVal>
          <c:yVal>
            <c:numRef>
              <c:f>Uncertanties!$Y$5:$Y$6</c:f>
              <c:numCache>
                <c:formatCode>0.000</c:formatCode>
                <c:ptCount val="2"/>
                <c:pt idx="0">
                  <c:v>-0.47368421052631576</c:v>
                </c:pt>
                <c:pt idx="1">
                  <c:v>-0.6</c:v>
                </c:pt>
              </c:numCache>
            </c:numRef>
          </c:yVal>
          <c:smooth val="1"/>
          <c:extLst>
            <c:ext xmlns:c16="http://schemas.microsoft.com/office/drawing/2014/chart" uri="{C3380CC4-5D6E-409C-BE32-E72D297353CC}">
              <c16:uniqueId val="{00000000-21C2-4153-BB59-85E929032A9F}"/>
            </c:ext>
          </c:extLst>
        </c:ser>
        <c:dLbls>
          <c:showLegendKey val="0"/>
          <c:showVal val="0"/>
          <c:showCatName val="0"/>
          <c:showSerName val="0"/>
          <c:showPercent val="0"/>
          <c:showBubbleSize val="0"/>
        </c:dLbls>
        <c:axId val="140494720"/>
        <c:axId val="140496256"/>
      </c:scatterChart>
      <c:valAx>
        <c:axId val="140494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496256"/>
        <c:crosses val="autoZero"/>
        <c:crossBetween val="midCat"/>
      </c:valAx>
      <c:valAx>
        <c:axId val="14049625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494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7941238721158398E-4"/>
                  <c:y val="8.6401638147888454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Uncertanties!$X$5:$X$6</c:f>
              <c:numCache>
                <c:formatCode>General</c:formatCode>
                <c:ptCount val="2"/>
                <c:pt idx="0">
                  <c:v>2020</c:v>
                </c:pt>
                <c:pt idx="1">
                  <c:v>2050</c:v>
                </c:pt>
              </c:numCache>
            </c:numRef>
          </c:xVal>
          <c:yVal>
            <c:numRef>
              <c:f>Uncertanties!$Z$5:$Z$6</c:f>
              <c:numCache>
                <c:formatCode>0.000</c:formatCode>
                <c:ptCount val="2"/>
                <c:pt idx="0">
                  <c:v>0.31578947368421051</c:v>
                </c:pt>
                <c:pt idx="1">
                  <c:v>0.19999999999999996</c:v>
                </c:pt>
              </c:numCache>
            </c:numRef>
          </c:yVal>
          <c:smooth val="1"/>
          <c:extLst>
            <c:ext xmlns:c16="http://schemas.microsoft.com/office/drawing/2014/chart" uri="{C3380CC4-5D6E-409C-BE32-E72D297353CC}">
              <c16:uniqueId val="{00000000-582A-4C4D-B9A2-8D649AF7B11E}"/>
            </c:ext>
          </c:extLst>
        </c:ser>
        <c:dLbls>
          <c:showLegendKey val="0"/>
          <c:showVal val="0"/>
          <c:showCatName val="0"/>
          <c:showSerName val="0"/>
          <c:showPercent val="0"/>
          <c:showBubbleSize val="0"/>
        </c:dLbls>
        <c:axId val="140575872"/>
        <c:axId val="140577408"/>
      </c:scatterChart>
      <c:valAx>
        <c:axId val="1405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577408"/>
        <c:crosses val="autoZero"/>
        <c:crossBetween val="midCat"/>
      </c:valAx>
      <c:valAx>
        <c:axId val="140577408"/>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57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5783250159812682E-2"/>
                  <c:y val="0.6351467894180570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Uncertanties!$R$8:$R$9</c:f>
              <c:numCache>
                <c:formatCode>General</c:formatCode>
                <c:ptCount val="2"/>
                <c:pt idx="0">
                  <c:v>2020</c:v>
                </c:pt>
                <c:pt idx="1">
                  <c:v>2050</c:v>
                </c:pt>
              </c:numCache>
            </c:numRef>
          </c:xVal>
          <c:yVal>
            <c:numRef>
              <c:f>Uncertanties!$T$8:$T$9</c:f>
              <c:numCache>
                <c:formatCode>0.000</c:formatCode>
                <c:ptCount val="2"/>
                <c:pt idx="0">
                  <c:v>0.24999999999999994</c:v>
                </c:pt>
                <c:pt idx="1">
                  <c:v>1</c:v>
                </c:pt>
              </c:numCache>
            </c:numRef>
          </c:yVal>
          <c:smooth val="1"/>
          <c:extLst>
            <c:ext xmlns:c16="http://schemas.microsoft.com/office/drawing/2014/chart" uri="{C3380CC4-5D6E-409C-BE32-E72D297353CC}">
              <c16:uniqueId val="{00000000-D22D-47A3-B6C0-2AC69D1EABC7}"/>
            </c:ext>
          </c:extLst>
        </c:ser>
        <c:dLbls>
          <c:showLegendKey val="0"/>
          <c:showVal val="0"/>
          <c:showCatName val="0"/>
          <c:showSerName val="0"/>
          <c:showPercent val="0"/>
          <c:showBubbleSize val="0"/>
        </c:dLbls>
        <c:axId val="140628352"/>
        <c:axId val="140629888"/>
      </c:scatterChart>
      <c:valAx>
        <c:axId val="140628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629888"/>
        <c:crosses val="autoZero"/>
        <c:crossBetween val="midCat"/>
      </c:valAx>
      <c:valAx>
        <c:axId val="14062988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6283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1297778599615849"/>
                  <c:y val="-1.1055753996103737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Uncertanties!$U$8:$U$9</c:f>
              <c:numCache>
                <c:formatCode>General</c:formatCode>
                <c:ptCount val="2"/>
                <c:pt idx="0">
                  <c:v>2020</c:v>
                </c:pt>
                <c:pt idx="1">
                  <c:v>2050</c:v>
                </c:pt>
              </c:numCache>
            </c:numRef>
          </c:xVal>
          <c:yVal>
            <c:numRef>
              <c:f>Uncertanties!$V$8:$V$9</c:f>
              <c:numCache>
                <c:formatCode>0.000</c:formatCode>
                <c:ptCount val="2"/>
                <c:pt idx="0">
                  <c:v>-0.25</c:v>
                </c:pt>
                <c:pt idx="1">
                  <c:v>-0.33333333333333331</c:v>
                </c:pt>
              </c:numCache>
            </c:numRef>
          </c:yVal>
          <c:smooth val="1"/>
          <c:extLst>
            <c:ext xmlns:c16="http://schemas.microsoft.com/office/drawing/2014/chart" uri="{C3380CC4-5D6E-409C-BE32-E72D297353CC}">
              <c16:uniqueId val="{00000000-8E4C-4432-AEDF-496DA5B19E1D}"/>
            </c:ext>
          </c:extLst>
        </c:ser>
        <c:dLbls>
          <c:showLegendKey val="0"/>
          <c:showVal val="0"/>
          <c:showCatName val="0"/>
          <c:showSerName val="0"/>
          <c:showPercent val="0"/>
          <c:showBubbleSize val="0"/>
        </c:dLbls>
        <c:axId val="141102464"/>
        <c:axId val="141104256"/>
      </c:scatterChart>
      <c:valAx>
        <c:axId val="14110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104256"/>
        <c:crosses val="autoZero"/>
        <c:crossBetween val="midCat"/>
      </c:valAx>
      <c:valAx>
        <c:axId val="14110425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1024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121"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21"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21"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21"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21"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21"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21"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zoomScale="121"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zoomScale="121" workbookViewId="0" zoomToFit="1"/>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sheetViews>
    <sheetView zoomScale="121" workbookViewId="0" zoomToFit="1"/>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zoomScale="121" workbookViewId="0" zoomToFit="1"/>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sheetViews>
    <sheetView zoomScale="121" workbookViewId="0" zoomToFit="1"/>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zoomScale="121" workbookViewId="0" zoomToFit="1"/>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zoomScale="121" workbookViewId="0" zoomToFit="1"/>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sheetViews>
    <sheetView zoomScale="121" workbookViewId="0" zoomToFit="1"/>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sheetViews>
    <sheetView zoomScale="121" workbookViewId="0" zoomToFit="1"/>
  </sheetViews>
  <pageMargins left="0.7" right="0.7" top="0.75" bottom="0.75" header="0.3" footer="0.3"/>
  <drawing r:id="rId1"/>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121" workbookViewId="0" zoomToFit="1"/>
  </sheetViews>
  <pageMargins left="0.7" right="0.7" top="0.75" bottom="0.75" header="0.3" footer="0.3"/>
  <drawing r:id="rId1"/>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sheetViews>
    <sheetView zoomScale="121" workbookViewId="0" zoomToFit="1"/>
  </sheetViews>
  <pageMargins left="0.7" right="0.7" top="0.75" bottom="0.75" header="0.3" footer="0.3"/>
  <drawing r:id="rId1"/>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sheetViews>
    <sheetView zoomScale="121" workbookViewId="0" zoomToFit="1"/>
  </sheetViews>
  <pageMargins left="0.7" right="0.7" top="0.75" bottom="0.75" header="0.3" footer="0.3"/>
  <drawing r:id="rId1"/>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21"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623358</xdr:colOff>
      <xdr:row>38</xdr:row>
      <xdr:rowOff>8467</xdr:rowOff>
    </xdr:from>
    <xdr:to>
      <xdr:col>13</xdr:col>
      <xdr:colOff>360773</xdr:colOff>
      <xdr:row>57</xdr:row>
      <xdr:rowOff>17448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417608" y="29366634"/>
          <a:ext cx="13971998" cy="44328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ownloads/Li-Ion%20energy-intensive%20application%20-%20chang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03 Li-Ion Battery power-intens"/>
      <sheetName val="04 Lead-Acid Battery"/>
      <sheetName val="05 Na-S Battery"/>
      <sheetName val="06 Vanadium Redox Flow Battery"/>
      <sheetName val="07 Molten Salt Storage"/>
      <sheetName val="08 CAES"/>
      <sheetName val="09 Supercapacitors"/>
      <sheetName val="10 Flywheel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17"/>
  <sheetViews>
    <sheetView showGridLines="0" tabSelected="1" topLeftCell="A7" zoomScale="80" zoomScaleNormal="80" workbookViewId="0">
      <selection activeCell="B30" sqref="B30"/>
    </sheetView>
  </sheetViews>
  <sheetFormatPr baseColWidth="10" defaultColWidth="6.42578125" defaultRowHeight="18" x14ac:dyDescent="0.35"/>
  <cols>
    <col min="1" max="1" width="3.28515625" style="1" customWidth="1"/>
    <col min="2" max="2" width="60.85546875" style="7" customWidth="1"/>
    <col min="3" max="9" width="10.7109375" style="1" customWidth="1"/>
    <col min="10" max="10" width="8.7109375" style="1" customWidth="1"/>
    <col min="11" max="11" width="18.28515625" style="1" customWidth="1"/>
    <col min="12" max="16384" width="6.42578125" style="1"/>
  </cols>
  <sheetData>
    <row r="2" spans="2:11" ht="20.45" customHeight="1" x14ac:dyDescent="0.35">
      <c r="B2" s="77" t="s">
        <v>13</v>
      </c>
      <c r="C2" s="78"/>
      <c r="D2" s="93" t="s">
        <v>14</v>
      </c>
      <c r="E2" s="93"/>
      <c r="F2" s="93"/>
      <c r="G2" s="93"/>
      <c r="H2" s="93"/>
      <c r="I2" s="93"/>
      <c r="J2" s="93"/>
      <c r="K2" s="93"/>
    </row>
    <row r="3" spans="2:11" ht="14.45" customHeight="1" x14ac:dyDescent="0.35">
      <c r="B3" s="92"/>
      <c r="C3" s="93">
        <v>2020</v>
      </c>
      <c r="D3" s="93">
        <v>2030</v>
      </c>
      <c r="E3" s="93">
        <v>2050</v>
      </c>
      <c r="F3" s="93" t="s">
        <v>15</v>
      </c>
      <c r="G3" s="93"/>
      <c r="H3" s="93" t="s">
        <v>139</v>
      </c>
      <c r="I3" s="93"/>
      <c r="J3" s="93" t="s">
        <v>16</v>
      </c>
      <c r="K3" s="93" t="s">
        <v>17</v>
      </c>
    </row>
    <row r="4" spans="2:11" ht="15" customHeight="1" x14ac:dyDescent="0.35">
      <c r="B4" s="92"/>
      <c r="C4" s="93"/>
      <c r="D4" s="93"/>
      <c r="E4" s="93"/>
      <c r="F4" s="93"/>
      <c r="G4" s="93"/>
      <c r="H4" s="93"/>
      <c r="I4" s="93"/>
      <c r="J4" s="93"/>
      <c r="K4" s="93"/>
    </row>
    <row r="5" spans="2:11" ht="18" customHeight="1" x14ac:dyDescent="0.35">
      <c r="B5" s="77" t="s">
        <v>18</v>
      </c>
      <c r="C5" s="79"/>
      <c r="D5" s="79"/>
      <c r="E5" s="79"/>
      <c r="F5" s="78" t="s">
        <v>9</v>
      </c>
      <c r="G5" s="78" t="s">
        <v>10</v>
      </c>
      <c r="H5" s="78" t="s">
        <v>9</v>
      </c>
      <c r="I5" s="78" t="s">
        <v>10</v>
      </c>
      <c r="J5" s="79"/>
      <c r="K5" s="78"/>
    </row>
    <row r="6" spans="2:11" ht="18" customHeight="1" x14ac:dyDescent="0.35">
      <c r="B6" s="88" t="s">
        <v>19</v>
      </c>
      <c r="C6" s="94" t="s">
        <v>20</v>
      </c>
      <c r="D6" s="94"/>
      <c r="E6" s="94"/>
      <c r="F6" s="80"/>
      <c r="G6" s="80"/>
      <c r="H6" s="80"/>
      <c r="I6" s="80"/>
      <c r="J6" s="80"/>
      <c r="K6" s="80"/>
    </row>
    <row r="7" spans="2:11" ht="18" customHeight="1" x14ac:dyDescent="0.35">
      <c r="B7" s="88" t="s">
        <v>21</v>
      </c>
      <c r="C7" s="94" t="s">
        <v>22</v>
      </c>
      <c r="D7" s="94"/>
      <c r="E7" s="94"/>
      <c r="F7" s="80"/>
      <c r="G7" s="80"/>
      <c r="H7" s="80"/>
      <c r="I7" s="80"/>
      <c r="J7" s="80"/>
      <c r="K7" s="80"/>
    </row>
    <row r="8" spans="2:11" ht="18" customHeight="1" x14ac:dyDescent="0.35">
      <c r="B8" s="88" t="s">
        <v>23</v>
      </c>
      <c r="C8" s="80">
        <v>6</v>
      </c>
      <c r="D8" s="80">
        <f>Data!L3</f>
        <v>7</v>
      </c>
      <c r="E8" s="81">
        <f>Data!M3</f>
        <v>8</v>
      </c>
      <c r="F8" s="81">
        <f>$C$8+($C$8*Uncertanties!K3)</f>
        <v>5</v>
      </c>
      <c r="G8" s="81">
        <f>$C$8+($C$8*Uncertanties!L3)</f>
        <v>9</v>
      </c>
      <c r="H8" s="81">
        <f>$D$8+($D$8*Uncertanties!M3)</f>
        <v>5.9321359999999999</v>
      </c>
      <c r="I8" s="81">
        <f>$D$8+($D$8*Uncertanties!N3)</f>
        <v>10.5</v>
      </c>
      <c r="J8" s="80" t="s">
        <v>24</v>
      </c>
      <c r="K8" s="80" t="s">
        <v>157</v>
      </c>
    </row>
    <row r="9" spans="2:11" ht="18" customHeight="1" x14ac:dyDescent="0.35">
      <c r="B9" s="88" t="s">
        <v>25</v>
      </c>
      <c r="C9" s="80">
        <f>C8*0.5</f>
        <v>3</v>
      </c>
      <c r="D9" s="82">
        <f>Data!L4</f>
        <v>3.5</v>
      </c>
      <c r="E9" s="81">
        <v>4</v>
      </c>
      <c r="F9" s="82">
        <f>$C$9+($C$9*Uncertanties!K4)</f>
        <v>2.6666666666666665</v>
      </c>
      <c r="G9" s="82">
        <f>$C$9+($C$9*Uncertanties!L4)</f>
        <v>3.5</v>
      </c>
      <c r="H9" s="82">
        <f>$D$9+($D$9*Uncertanties!M4)</f>
        <v>3.1440465</v>
      </c>
      <c r="I9" s="82">
        <f>$D$9+($D$9*Uncertanties!N4)</f>
        <v>4.083333333333333</v>
      </c>
      <c r="J9" s="80" t="s">
        <v>24</v>
      </c>
      <c r="K9" s="80" t="s">
        <v>157</v>
      </c>
    </row>
    <row r="10" spans="2:11" ht="18" customHeight="1" x14ac:dyDescent="0.35">
      <c r="B10" s="88" t="s">
        <v>26</v>
      </c>
      <c r="C10" s="80">
        <f>C9</f>
        <v>3</v>
      </c>
      <c r="D10" s="80">
        <f>Data!L5</f>
        <v>3.5</v>
      </c>
      <c r="E10" s="81">
        <v>4</v>
      </c>
      <c r="F10" s="82">
        <f>F9</f>
        <v>2.6666666666666665</v>
      </c>
      <c r="G10" s="82">
        <f t="shared" ref="G10:I10" si="0">G9</f>
        <v>3.5</v>
      </c>
      <c r="H10" s="82">
        <f t="shared" si="0"/>
        <v>3.1440465</v>
      </c>
      <c r="I10" s="82">
        <f t="shared" si="0"/>
        <v>4.083333333333333</v>
      </c>
      <c r="J10" s="80" t="s">
        <v>24</v>
      </c>
      <c r="K10" s="80" t="s">
        <v>157</v>
      </c>
    </row>
    <row r="11" spans="2:11" ht="18" customHeight="1" x14ac:dyDescent="0.35">
      <c r="B11" s="88" t="s">
        <v>27</v>
      </c>
      <c r="C11" s="80">
        <v>92</v>
      </c>
      <c r="D11" s="81">
        <f>Data!L6</f>
        <v>93.010989010989007</v>
      </c>
      <c r="E11" s="81">
        <f>D11</f>
        <v>93.010989010989007</v>
      </c>
      <c r="F11" s="81">
        <f>$C$11+($C$11*Uncertanties!K5)</f>
        <v>90.989010989010993</v>
      </c>
      <c r="G11" s="81">
        <f>$C$11+($C$11*Uncertanties!L5)</f>
        <v>93.010989010989007</v>
      </c>
      <c r="H11" s="81">
        <f>$D$11+($D$11*Uncertanties!M5)</f>
        <v>91.988890230648465</v>
      </c>
      <c r="I11" s="81">
        <f>$D$11+($D$11*Uncertanties!N5)</f>
        <v>94.302725626373615</v>
      </c>
      <c r="J11" s="80" t="s">
        <v>28</v>
      </c>
      <c r="K11" s="80" t="s">
        <v>158</v>
      </c>
    </row>
    <row r="12" spans="2:11" ht="18" customHeight="1" x14ac:dyDescent="0.35">
      <c r="B12" s="88" t="s">
        <v>29</v>
      </c>
      <c r="C12" s="81">
        <f>C13%*C14</f>
        <v>96.039999999999992</v>
      </c>
      <c r="D12" s="81">
        <f>D13*D14%</f>
        <v>97.027577319587635</v>
      </c>
      <c r="E12" s="81">
        <f>E13*E14%</f>
        <v>97.027577319587635</v>
      </c>
      <c r="F12" s="81">
        <f t="shared" ref="F12:I12" si="1">F13%*F14</f>
        <v>96.039999999999992</v>
      </c>
      <c r="G12" s="81">
        <f t="shared" si="1"/>
        <v>97.022499999999994</v>
      </c>
      <c r="H12" s="81">
        <f t="shared" si="1"/>
        <v>96.775056549705951</v>
      </c>
      <c r="I12" s="81">
        <f t="shared" si="1"/>
        <v>98.015051085485212</v>
      </c>
      <c r="J12" s="80" t="s">
        <v>28</v>
      </c>
      <c r="K12" s="80" t="s">
        <v>158</v>
      </c>
    </row>
    <row r="13" spans="2:11" ht="18" customHeight="1" x14ac:dyDescent="0.35">
      <c r="B13" s="89" t="s">
        <v>232</v>
      </c>
      <c r="C13" s="80">
        <v>98</v>
      </c>
      <c r="D13" s="81">
        <f>Data!L8</f>
        <v>98.5</v>
      </c>
      <c r="E13" s="81">
        <f>D13</f>
        <v>98.5</v>
      </c>
      <c r="F13" s="81">
        <f>$C$13+($C$13*Uncertanties!K6)</f>
        <v>98</v>
      </c>
      <c r="G13" s="81">
        <f>$C$13+($C$13*Uncertanties!L6)</f>
        <v>98.5</v>
      </c>
      <c r="H13" s="81">
        <f>$D$13+($D$13*Uncertanties!M6)</f>
        <v>98.374313999999998</v>
      </c>
      <c r="I13" s="81">
        <f>$D$13+($D$13*Uncertanties!N6)</f>
        <v>99.002551020408163</v>
      </c>
      <c r="J13" s="80" t="s">
        <v>30</v>
      </c>
      <c r="K13" s="80" t="s">
        <v>31</v>
      </c>
    </row>
    <row r="14" spans="2:11" ht="18" customHeight="1" x14ac:dyDescent="0.35">
      <c r="B14" s="89" t="s">
        <v>32</v>
      </c>
      <c r="C14" s="80">
        <f>C13</f>
        <v>98</v>
      </c>
      <c r="D14" s="81">
        <f>Data!L9</f>
        <v>98.505154639175259</v>
      </c>
      <c r="E14" s="81">
        <f>D14</f>
        <v>98.505154639175259</v>
      </c>
      <c r="F14" s="80">
        <f t="shared" ref="F14:I14" si="2">F13</f>
        <v>98</v>
      </c>
      <c r="G14" s="81">
        <f t="shared" si="2"/>
        <v>98.5</v>
      </c>
      <c r="H14" s="81">
        <f t="shared" si="2"/>
        <v>98.374313999999998</v>
      </c>
      <c r="I14" s="81">
        <f t="shared" si="2"/>
        <v>99.002551020408163</v>
      </c>
      <c r="J14" s="80" t="s">
        <v>30</v>
      </c>
      <c r="K14" s="80" t="s">
        <v>31</v>
      </c>
    </row>
    <row r="15" spans="2:11" ht="18" customHeight="1" x14ac:dyDescent="0.35">
      <c r="B15" s="88" t="s">
        <v>33</v>
      </c>
      <c r="C15" s="80">
        <v>0.1</v>
      </c>
      <c r="D15" s="80">
        <f>Data!L10</f>
        <v>0.1</v>
      </c>
      <c r="E15" s="80">
        <f>Data!M10</f>
        <v>0.1</v>
      </c>
      <c r="F15" s="83">
        <f>$C$15+($C$15*Uncertanties!K7)</f>
        <v>0.05</v>
      </c>
      <c r="G15" s="83">
        <f>$C$15+($C$15*Uncertanties!L7)</f>
        <v>0.2</v>
      </c>
      <c r="H15" s="83">
        <f>$D$15+($D$15*Uncertanties!M7)</f>
        <v>0.05</v>
      </c>
      <c r="I15" s="83">
        <f>$D$15+($D$15*Uncertanties!N7)</f>
        <v>0.18326569999999975</v>
      </c>
      <c r="J15" s="80" t="s">
        <v>34</v>
      </c>
      <c r="K15" s="80" t="s">
        <v>159</v>
      </c>
    </row>
    <row r="16" spans="2:11" ht="18" customHeight="1" x14ac:dyDescent="0.35">
      <c r="B16" s="88" t="s">
        <v>35</v>
      </c>
      <c r="C16" s="80">
        <v>0.38</v>
      </c>
      <c r="D16" s="80">
        <f>Data!L11</f>
        <v>0.35</v>
      </c>
      <c r="E16" s="83">
        <f>Data!M11</f>
        <v>0.32236842105263153</v>
      </c>
      <c r="F16" s="83">
        <f>$C$16+($C$16*Uncertanties!K8)</f>
        <v>0.2</v>
      </c>
      <c r="G16" s="83">
        <f>$C$16+($C$16*Uncertanties!L8)</f>
        <v>0.5</v>
      </c>
      <c r="H16" s="83">
        <f>$D$16+($D$16*Uncertanties!M8)</f>
        <v>0.16913715000000024</v>
      </c>
      <c r="I16" s="83">
        <f>$D$16+($D$16*Uncertanties!N8)</f>
        <v>0.44676834999999981</v>
      </c>
      <c r="J16" s="80" t="s">
        <v>36</v>
      </c>
      <c r="K16" s="80"/>
    </row>
    <row r="17" spans="2:11" ht="18" customHeight="1" x14ac:dyDescent="0.35">
      <c r="B17" s="88" t="s">
        <v>37</v>
      </c>
      <c r="C17" s="80">
        <v>0.2</v>
      </c>
      <c r="D17" s="83">
        <f>Data!L12</f>
        <v>0.1</v>
      </c>
      <c r="E17" s="80">
        <f>Data!M12</f>
        <v>0.05</v>
      </c>
      <c r="F17" s="83">
        <f>$C$17+($C$17*Uncertanties!K9)</f>
        <v>0.1</v>
      </c>
      <c r="G17" s="83">
        <f>$C$17+($C$17*Uncertanties!L9)</f>
        <v>0.25</v>
      </c>
      <c r="H17" s="83">
        <f>$D$17+($D$17*Uncertanties!M9)</f>
        <v>0.05</v>
      </c>
      <c r="I17" s="83">
        <f>$D$17+($D$17*Uncertanties!N9)</f>
        <v>0.15000000000000002</v>
      </c>
      <c r="J17" s="80" t="s">
        <v>36</v>
      </c>
      <c r="K17" s="80"/>
    </row>
    <row r="18" spans="2:11" ht="18" customHeight="1" x14ac:dyDescent="0.35">
      <c r="B18" s="88" t="s">
        <v>38</v>
      </c>
      <c r="C18" s="80">
        <v>20</v>
      </c>
      <c r="D18" s="80">
        <f>Data!L13</f>
        <v>25</v>
      </c>
      <c r="E18" s="81">
        <f>Data!M13</f>
        <v>31.25</v>
      </c>
      <c r="F18" s="81">
        <f>$C$18+($C$18*Uncertanties!K10)</f>
        <v>15</v>
      </c>
      <c r="G18" s="81">
        <f>$C$18+($C$18*Uncertanties!L10)</f>
        <v>25</v>
      </c>
      <c r="H18" s="81">
        <f>$D$18+($D$18*Uncertanties!M10)</f>
        <v>18.04427500000001</v>
      </c>
      <c r="I18" s="81">
        <f>$D$18+($D$18*Uncertanties!N10)</f>
        <v>33.316425000000024</v>
      </c>
      <c r="J18" s="80" t="s">
        <v>39</v>
      </c>
      <c r="K18" s="80" t="s">
        <v>160</v>
      </c>
    </row>
    <row r="19" spans="2:11" ht="18" customHeight="1" x14ac:dyDescent="0.35">
      <c r="B19" s="88" t="s">
        <v>40</v>
      </c>
      <c r="C19" s="80">
        <v>0.2</v>
      </c>
      <c r="D19" s="80">
        <f>Data!L14</f>
        <v>0.2</v>
      </c>
      <c r="E19" s="82">
        <f>Data!M14</f>
        <v>0.2</v>
      </c>
      <c r="F19" s="82">
        <f>$C$19+($C$19*Uncertanties!K11)</f>
        <v>0.2</v>
      </c>
      <c r="G19" s="82">
        <f>$C$19+($C$19*Uncertanties!L11)</f>
        <v>0.25</v>
      </c>
      <c r="H19" s="83">
        <f>$D$19+($D$19*Uncertanties!M11)</f>
        <v>0.16653139999999952</v>
      </c>
      <c r="I19" s="83">
        <f>$D$19+($D$19*Uncertanties!N11)</f>
        <v>0.25</v>
      </c>
      <c r="J19" s="80"/>
      <c r="K19" s="80" t="s">
        <v>41</v>
      </c>
    </row>
    <row r="20" spans="2:11" ht="18" customHeight="1" x14ac:dyDescent="0.35">
      <c r="B20" s="88" t="s">
        <v>65</v>
      </c>
      <c r="C20" s="80">
        <v>14000</v>
      </c>
      <c r="D20" s="81">
        <f>Data!L26</f>
        <v>30000</v>
      </c>
      <c r="E20" s="81">
        <v>50000</v>
      </c>
      <c r="F20" s="81">
        <f>$C$20+($C$20*Uncertanties!K20)</f>
        <v>10000</v>
      </c>
      <c r="G20" s="81">
        <f>$C$20+($C$20*Uncertanties!L20)</f>
        <v>16000</v>
      </c>
      <c r="H20" s="81">
        <v>18200</v>
      </c>
      <c r="I20" s="81">
        <v>36800</v>
      </c>
      <c r="J20" s="80" t="s">
        <v>66</v>
      </c>
      <c r="K20" s="80" t="s">
        <v>161</v>
      </c>
    </row>
    <row r="21" spans="2:11" ht="18" customHeight="1" x14ac:dyDescent="0.35">
      <c r="B21" s="90" t="s">
        <v>42</v>
      </c>
      <c r="C21" s="84"/>
      <c r="D21" s="84"/>
      <c r="E21" s="84"/>
      <c r="F21" s="84"/>
      <c r="G21" s="84"/>
      <c r="H21" s="84"/>
      <c r="I21" s="84"/>
      <c r="J21" s="84"/>
      <c r="K21" s="84"/>
    </row>
    <row r="22" spans="2:11" ht="18" customHeight="1" x14ac:dyDescent="0.35">
      <c r="B22" s="88" t="s">
        <v>43</v>
      </c>
      <c r="C22" s="80" t="s">
        <v>44</v>
      </c>
      <c r="D22" s="80" t="s">
        <v>44</v>
      </c>
      <c r="E22" s="80" t="s">
        <v>44</v>
      </c>
      <c r="F22" s="80" t="s">
        <v>44</v>
      </c>
      <c r="G22" s="80" t="s">
        <v>44</v>
      </c>
      <c r="H22" s="80" t="s">
        <v>44</v>
      </c>
      <c r="I22" s="80" t="s">
        <v>44</v>
      </c>
      <c r="J22" s="80" t="s">
        <v>45</v>
      </c>
      <c r="K22" s="80" t="s">
        <v>46</v>
      </c>
    </row>
    <row r="23" spans="2:11" ht="18" customHeight="1" x14ac:dyDescent="0.35">
      <c r="B23" s="88" t="s">
        <v>47</v>
      </c>
      <c r="C23" s="80" t="s">
        <v>44</v>
      </c>
      <c r="D23" s="80" t="s">
        <v>44</v>
      </c>
      <c r="E23" s="80" t="s">
        <v>44</v>
      </c>
      <c r="F23" s="80" t="s">
        <v>44</v>
      </c>
      <c r="G23" s="80" t="s">
        <v>44</v>
      </c>
      <c r="H23" s="80" t="s">
        <v>44</v>
      </c>
      <c r="I23" s="80" t="s">
        <v>44</v>
      </c>
      <c r="J23" s="80" t="s">
        <v>45</v>
      </c>
      <c r="K23" s="80" t="s">
        <v>46</v>
      </c>
    </row>
    <row r="24" spans="2:11" ht="18" customHeight="1" x14ac:dyDescent="0.35">
      <c r="B24" s="90" t="s">
        <v>48</v>
      </c>
      <c r="C24" s="84"/>
      <c r="D24" s="84"/>
      <c r="E24" s="84"/>
      <c r="F24" s="84"/>
      <c r="G24" s="84"/>
      <c r="H24" s="84"/>
      <c r="I24" s="84"/>
      <c r="J24" s="84"/>
      <c r="K24" s="84"/>
    </row>
    <row r="25" spans="2:11" ht="18" customHeight="1" x14ac:dyDescent="0.35">
      <c r="B25" s="88" t="s">
        <v>233</v>
      </c>
      <c r="C25" s="83">
        <f>((C26+C28)*C8+C27*C9)/C8</f>
        <v>0.40737000000000007</v>
      </c>
      <c r="D25" s="83">
        <f t="shared" ref="D25:I25" si="3">((D26+D28)*D8+D27*D9)/D8</f>
        <v>0.26421091139240505</v>
      </c>
      <c r="E25" s="83">
        <f>((E26+E28)*E8+E27*E9)/E8</f>
        <v>0.17487956981253003</v>
      </c>
      <c r="F25" s="83">
        <f t="shared" si="3"/>
        <v>0.31967999999999996</v>
      </c>
      <c r="G25" s="83">
        <f t="shared" si="3"/>
        <v>0.55204000000000009</v>
      </c>
      <c r="H25" s="83">
        <f t="shared" si="3"/>
        <v>0.19725029511345679</v>
      </c>
      <c r="I25" s="83">
        <f t="shared" si="3"/>
        <v>0.50705432008427653</v>
      </c>
      <c r="J25" s="80" t="s">
        <v>49</v>
      </c>
      <c r="K25" s="80" t="s">
        <v>162</v>
      </c>
    </row>
    <row r="26" spans="2:11" ht="18" customHeight="1" x14ac:dyDescent="0.35">
      <c r="B26" s="91" t="s">
        <v>50</v>
      </c>
      <c r="C26" s="85">
        <v>0.14652000000000001</v>
      </c>
      <c r="D26" s="83">
        <f>Data!L18</f>
        <v>8.5500911392405066E-2</v>
      </c>
      <c r="E26" s="83">
        <f>Data!M18</f>
        <v>4.9893569812530042E-2</v>
      </c>
      <c r="F26" s="83">
        <f>$C$26+($C$26*Uncertanties!K12)</f>
        <v>7.7700000000000005E-2</v>
      </c>
      <c r="G26" s="83">
        <f>$C$26+($C$26*Uncertanties!L12)</f>
        <v>0.20979</v>
      </c>
      <c r="H26" s="83">
        <f>$D$26+($D$26*Uncertanties!M12)</f>
        <v>5.1375445633822743E-2</v>
      </c>
      <c r="I26" s="83">
        <f>$D$26+($D$26*Uncertanties!N12)</f>
        <v>0.17533877101427747</v>
      </c>
      <c r="J26" s="80"/>
      <c r="K26" s="80" t="s">
        <v>51</v>
      </c>
    </row>
    <row r="27" spans="2:11" ht="18" customHeight="1" x14ac:dyDescent="0.35">
      <c r="B27" s="91" t="s">
        <v>52</v>
      </c>
      <c r="C27" s="85">
        <v>0.29970000000000002</v>
      </c>
      <c r="D27" s="83">
        <f>Data!L19</f>
        <v>0.17982000000000001</v>
      </c>
      <c r="E27" s="83">
        <f>Data!M19</f>
        <v>0.107892</v>
      </c>
      <c r="F27" s="83">
        <f>$C$27+($C$27*Uncertanties!K13)</f>
        <v>0.26639999999999997</v>
      </c>
      <c r="G27" s="83">
        <f>$C$27+($C$27*Uncertanties!L13)</f>
        <v>0.56610000000000005</v>
      </c>
      <c r="H27" s="83">
        <f>$D$27+($D$27*Uncertanties!M13)</f>
        <v>0.14666874443999978</v>
      </c>
      <c r="I27" s="83">
        <f>$D$27+($D$27*Uncertanties!N13)</f>
        <v>0.47621712617999645</v>
      </c>
      <c r="J27" s="80"/>
      <c r="K27" s="80" t="s">
        <v>53</v>
      </c>
    </row>
    <row r="28" spans="2:11" ht="18" customHeight="1" x14ac:dyDescent="0.35">
      <c r="B28" s="91" t="s">
        <v>54</v>
      </c>
      <c r="C28" s="85">
        <v>0.11100000000000002</v>
      </c>
      <c r="D28" s="83">
        <f>Data!L20</f>
        <v>8.8800000000000004E-2</v>
      </c>
      <c r="E28" s="83">
        <f>Data!M20</f>
        <v>7.1039999999999992E-2</v>
      </c>
      <c r="F28" s="83">
        <f>$C$28+($C$28*Uncertanties!K14)</f>
        <v>9.9900000000000003E-2</v>
      </c>
      <c r="G28" s="83">
        <f>$C$28+($C$28*Uncertanties!L14)</f>
        <v>0.12210000000000001</v>
      </c>
      <c r="H28" s="83">
        <f>$D$28+($D$28*Uncertanties!M14)</f>
        <v>6.8140058400000036E-2</v>
      </c>
      <c r="I28" s="83">
        <f>$D$28+($D$28*Uncertanties!N14)</f>
        <v>0.14652000000000051</v>
      </c>
      <c r="J28" s="80" t="s">
        <v>55</v>
      </c>
      <c r="K28" s="80" t="s">
        <v>163</v>
      </c>
    </row>
    <row r="29" spans="2:11" ht="18" customHeight="1" x14ac:dyDescent="0.35">
      <c r="B29" s="88" t="s">
        <v>113</v>
      </c>
      <c r="C29" s="83">
        <v>0.54</v>
      </c>
      <c r="D29" s="83">
        <f>Data!L21</f>
        <v>0.54</v>
      </c>
      <c r="E29" s="83">
        <f>Data!M21</f>
        <v>0.54</v>
      </c>
      <c r="F29" s="83">
        <f>$C$29+($C$29*Uncertanties!K15)</f>
        <v>0.45</v>
      </c>
      <c r="G29" s="83">
        <f>$C$29+($C$29*Uncertanties!L15)</f>
        <v>0.54</v>
      </c>
      <c r="H29" s="83">
        <f>$D$29+($D$29*Uncertanties!M15)</f>
        <v>0.43379333999999975</v>
      </c>
      <c r="I29" s="83">
        <f>$D$29+($D$29*Uncertanties!N15)</f>
        <v>0.54</v>
      </c>
      <c r="J29" s="80" t="s">
        <v>56</v>
      </c>
      <c r="K29" s="80" t="s">
        <v>53</v>
      </c>
    </row>
    <row r="30" spans="2:11" ht="18" customHeight="1" x14ac:dyDescent="0.35">
      <c r="B30" s="88" t="s">
        <v>57</v>
      </c>
      <c r="C30" s="83">
        <v>2.2200000000000002</v>
      </c>
      <c r="D30" s="83">
        <f>Data!L22</f>
        <v>1.9980000000000002</v>
      </c>
      <c r="E30" s="83">
        <f>Data!M22</f>
        <v>1.7982000000000002</v>
      </c>
      <c r="F30" s="83">
        <f>$C$30+($C$30*Uncertanties!K16)</f>
        <v>0.44399999999999995</v>
      </c>
      <c r="G30" s="83">
        <f>$C$30+($C$30*Uncertanties!L16)</f>
        <v>6.2160000000000002</v>
      </c>
      <c r="H30" s="83">
        <f>$D$30+($D$30*Uncertanties!M16)</f>
        <v>0.38992368600000016</v>
      </c>
      <c r="I30" s="83">
        <f>$D$30+($D$30*Uncertanties!N16)</f>
        <v>4.7702250000000062</v>
      </c>
      <c r="J30" s="80" t="s">
        <v>58</v>
      </c>
      <c r="K30" s="80" t="s">
        <v>59</v>
      </c>
    </row>
    <row r="31" spans="2:11" ht="18" customHeight="1" x14ac:dyDescent="0.35">
      <c r="B31" s="90" t="s">
        <v>60</v>
      </c>
      <c r="C31" s="86"/>
      <c r="D31" s="86"/>
      <c r="E31" s="86"/>
      <c r="F31" s="86"/>
      <c r="G31" s="86"/>
      <c r="H31" s="86"/>
      <c r="I31" s="86"/>
      <c r="J31" s="87"/>
      <c r="K31" s="87"/>
    </row>
    <row r="32" spans="2:11" ht="18" customHeight="1" x14ac:dyDescent="0.35">
      <c r="B32" s="88" t="s">
        <v>229</v>
      </c>
      <c r="C32" s="85">
        <f t="shared" ref="C32:I32" si="4">C26+C28</f>
        <v>0.25752000000000003</v>
      </c>
      <c r="D32" s="85">
        <f>D26+D28</f>
        <v>0.17430091139240506</v>
      </c>
      <c r="E32" s="85">
        <f t="shared" si="4"/>
        <v>0.12093356981253003</v>
      </c>
      <c r="F32" s="85">
        <f>F26+F28</f>
        <v>0.17760000000000001</v>
      </c>
      <c r="G32" s="85">
        <f t="shared" si="4"/>
        <v>0.33189000000000002</v>
      </c>
      <c r="H32" s="85">
        <f t="shared" si="4"/>
        <v>0.11951550403382277</v>
      </c>
      <c r="I32" s="85">
        <f t="shared" si="4"/>
        <v>0.32185877101427796</v>
      </c>
      <c r="J32" s="80" t="s">
        <v>61</v>
      </c>
      <c r="K32" s="80" t="s">
        <v>162</v>
      </c>
    </row>
    <row r="33" spans="1:12" ht="18" customHeight="1" x14ac:dyDescent="0.35">
      <c r="B33" s="88" t="s">
        <v>230</v>
      </c>
      <c r="C33" s="83">
        <f t="shared" ref="C33:E33" si="5">C27</f>
        <v>0.29970000000000002</v>
      </c>
      <c r="D33" s="83">
        <f t="shared" si="5"/>
        <v>0.17982000000000001</v>
      </c>
      <c r="E33" s="83">
        <f t="shared" si="5"/>
        <v>0.107892</v>
      </c>
      <c r="F33" s="83">
        <f>F27</f>
        <v>0.26639999999999997</v>
      </c>
      <c r="G33" s="83">
        <f>G27</f>
        <v>0.56610000000000005</v>
      </c>
      <c r="H33" s="83">
        <f>H27</f>
        <v>0.14666874443999978</v>
      </c>
      <c r="I33" s="83">
        <f>I27</f>
        <v>0.47621712617999645</v>
      </c>
      <c r="J33" s="80" t="s">
        <v>62</v>
      </c>
      <c r="K33" s="80" t="s">
        <v>63</v>
      </c>
    </row>
    <row r="34" spans="1:12" ht="18" customHeight="1" x14ac:dyDescent="0.35">
      <c r="B34" s="88" t="s">
        <v>231</v>
      </c>
      <c r="C34" s="85">
        <v>0.36630000000000007</v>
      </c>
      <c r="D34" s="83">
        <f>Data!L25</f>
        <v>0.22200000000000006</v>
      </c>
      <c r="E34" s="83">
        <f>Data!M25</f>
        <v>0.13454545454545458</v>
      </c>
      <c r="F34" s="83">
        <f>$C$34+($C$34*Uncertanties!K19)</f>
        <v>0.31080000000000008</v>
      </c>
      <c r="G34" s="83">
        <f>$C$34+($C$34*Uncertanties!L19)</f>
        <v>0.64380000000000004</v>
      </c>
      <c r="H34" s="83">
        <f>$D$34+($D$34*Uncertanties!M19)</f>
        <v>0.17204888999999979</v>
      </c>
      <c r="I34" s="83">
        <f>$D$34+($D$34*Uncertanties!N19)</f>
        <v>0.5469576060000072</v>
      </c>
      <c r="J34" s="80" t="s">
        <v>64</v>
      </c>
      <c r="K34" s="80" t="s">
        <v>164</v>
      </c>
    </row>
    <row r="35" spans="1:12" ht="18" customHeight="1" x14ac:dyDescent="0.35">
      <c r="B35" s="88" t="s">
        <v>67</v>
      </c>
      <c r="C35" s="81">
        <f t="shared" ref="C35:I35" si="6">C37/(C8/C9)</f>
        <v>57.692307692307693</v>
      </c>
      <c r="D35" s="81">
        <f t="shared" si="6"/>
        <v>67.307692307692307</v>
      </c>
      <c r="E35" s="81">
        <f t="shared" si="6"/>
        <v>76.92307692307692</v>
      </c>
      <c r="F35" s="81">
        <f t="shared" si="6"/>
        <v>56.849816849816854</v>
      </c>
      <c r="G35" s="81">
        <f t="shared" si="6"/>
        <v>59.829059829059823</v>
      </c>
      <c r="H35" s="81">
        <f t="shared" si="6"/>
        <v>61.038698219933778</v>
      </c>
      <c r="I35" s="81">
        <f t="shared" si="6"/>
        <v>71.534398504273497</v>
      </c>
      <c r="J35" s="80" t="s">
        <v>68</v>
      </c>
      <c r="K35" s="80" t="s">
        <v>165</v>
      </c>
      <c r="L35" s="2"/>
    </row>
    <row r="36" spans="1:12" ht="18" customHeight="1" x14ac:dyDescent="0.35">
      <c r="B36" s="88" t="s">
        <v>69</v>
      </c>
      <c r="C36" s="81">
        <f t="shared" ref="C36:I36" si="7">C38/(C8/C9)</f>
        <v>68.901330275635885</v>
      </c>
      <c r="D36" s="81">
        <f t="shared" si="7"/>
        <v>80.384885321575211</v>
      </c>
      <c r="E36" s="81">
        <f t="shared" si="7"/>
        <v>91.868440367514523</v>
      </c>
      <c r="F36" s="81">
        <f t="shared" si="7"/>
        <v>68.406654058272352</v>
      </c>
      <c r="G36" s="81">
        <f t="shared" si="7"/>
        <v>82.446036227256599</v>
      </c>
      <c r="H36" s="81">
        <f t="shared" si="7"/>
        <v>71.79827609277342</v>
      </c>
      <c r="I36" s="81">
        <f t="shared" si="7"/>
        <v>96.187042265132717</v>
      </c>
      <c r="J36" s="80" t="s">
        <v>68</v>
      </c>
      <c r="K36" s="80" t="s">
        <v>165</v>
      </c>
      <c r="L36" s="2"/>
    </row>
    <row r="37" spans="1:12" ht="18" customHeight="1" x14ac:dyDescent="0.35">
      <c r="B37" s="88" t="s">
        <v>70</v>
      </c>
      <c r="C37" s="81">
        <f>(Data!I35*1000)/Data!C35</f>
        <v>115.38461538461539</v>
      </c>
      <c r="D37" s="81">
        <f>C37*(D8/C8)</f>
        <v>134.61538461538461</v>
      </c>
      <c r="E37" s="81">
        <f>D37*(E8/D8)</f>
        <v>153.84615384615384</v>
      </c>
      <c r="F37" s="81">
        <f>$C$37+($C$37*Uncertanties!K21)</f>
        <v>106.5934065934066</v>
      </c>
      <c r="G37" s="81">
        <f>$C$37+($C$37*Uncertanties!L21)</f>
        <v>153.84615384615384</v>
      </c>
      <c r="H37" s="81">
        <f>$D$37+($D$37*Uncertanties!M21)</f>
        <v>115.1668269230767</v>
      </c>
      <c r="I37" s="81">
        <f>$D$37+($D$37*Uncertanties!N21)</f>
        <v>183.94559615384614</v>
      </c>
      <c r="J37" s="80" t="s">
        <v>68</v>
      </c>
      <c r="K37" s="80" t="s">
        <v>165</v>
      </c>
      <c r="L37" s="2"/>
    </row>
    <row r="38" spans="1:12" ht="18" customHeight="1" x14ac:dyDescent="0.35">
      <c r="B38" s="88" t="s">
        <v>71</v>
      </c>
      <c r="C38" s="81">
        <f>(Data!I35/Data!F35)</f>
        <v>137.80266055127177</v>
      </c>
      <c r="D38" s="81">
        <f>C38*(D8/C8)</f>
        <v>160.76977064315042</v>
      </c>
      <c r="E38" s="81">
        <f>D38*(E8/D8)</f>
        <v>183.73688073502905</v>
      </c>
      <c r="F38" s="81">
        <f>$C$38+($C$38*Uncertanties!K22)</f>
        <v>128.26247635926066</v>
      </c>
      <c r="G38" s="81">
        <f>$C$38+($C$38*Uncertanties!L22)</f>
        <v>212.00409315580271</v>
      </c>
      <c r="H38" s="81">
        <f>$D$38+($D$38*Uncertanties!M22)</f>
        <v>135.46782413933144</v>
      </c>
      <c r="I38" s="81">
        <f>$D$38+($D$38*Uncertanties!N22)</f>
        <v>247.33810868176988</v>
      </c>
      <c r="J38" s="80" t="s">
        <v>68</v>
      </c>
      <c r="K38" s="80" t="s">
        <v>165</v>
      </c>
      <c r="L38" s="2"/>
    </row>
    <row r="39" spans="1:12" ht="15.75" customHeight="1" x14ac:dyDescent="0.35">
      <c r="B39" s="3"/>
      <c r="C39" s="4"/>
      <c r="D39" s="4"/>
      <c r="E39" s="4"/>
      <c r="F39" s="4"/>
      <c r="G39" s="4"/>
      <c r="H39" s="4"/>
      <c r="I39" s="4"/>
      <c r="J39" s="4"/>
      <c r="K39" s="4"/>
    </row>
    <row r="40" spans="1:12" ht="15.75" customHeight="1" x14ac:dyDescent="0.35">
      <c r="B40" s="15" t="s">
        <v>166</v>
      </c>
      <c r="C40" s="16">
        <v>1.1100000000000001</v>
      </c>
      <c r="D40" s="4"/>
      <c r="E40" s="4"/>
      <c r="F40" s="4"/>
      <c r="G40" s="4"/>
      <c r="H40" s="4"/>
      <c r="I40" s="4"/>
      <c r="J40" s="4"/>
      <c r="K40" s="4"/>
    </row>
    <row r="41" spans="1:12" ht="15" customHeight="1" x14ac:dyDescent="0.35"/>
    <row r="42" spans="1:12" x14ac:dyDescent="0.35">
      <c r="A42" s="5" t="s">
        <v>72</v>
      </c>
      <c r="B42" s="6"/>
    </row>
    <row r="43" spans="1:12" s="8" customFormat="1" x14ac:dyDescent="0.35">
      <c r="A43" s="12"/>
      <c r="B43" s="14" t="s">
        <v>140</v>
      </c>
    </row>
    <row r="44" spans="1:12" x14ac:dyDescent="0.35">
      <c r="A44" s="10"/>
      <c r="B44" s="11" t="s">
        <v>141</v>
      </c>
    </row>
    <row r="45" spans="1:12" x14ac:dyDescent="0.35">
      <c r="A45" s="10"/>
      <c r="B45" s="11" t="s">
        <v>142</v>
      </c>
    </row>
    <row r="46" spans="1:12" x14ac:dyDescent="0.35">
      <c r="A46" s="10"/>
      <c r="B46" s="11" t="s">
        <v>143</v>
      </c>
    </row>
    <row r="47" spans="1:12" x14ac:dyDescent="0.35">
      <c r="A47" s="10"/>
      <c r="B47" s="11" t="s">
        <v>144</v>
      </c>
    </row>
    <row r="48" spans="1:12" x14ac:dyDescent="0.35">
      <c r="A48" s="10"/>
      <c r="B48" s="11" t="s">
        <v>145</v>
      </c>
    </row>
    <row r="49" spans="1:2" x14ac:dyDescent="0.35">
      <c r="A49" s="10"/>
      <c r="B49" s="11" t="s">
        <v>146</v>
      </c>
    </row>
    <row r="50" spans="1:2" x14ac:dyDescent="0.35">
      <c r="A50" s="10"/>
      <c r="B50" s="11" t="s">
        <v>147</v>
      </c>
    </row>
    <row r="51" spans="1:2" x14ac:dyDescent="0.35">
      <c r="A51" s="10"/>
      <c r="B51" s="11" t="s">
        <v>148</v>
      </c>
    </row>
    <row r="52" spans="1:2" x14ac:dyDescent="0.35">
      <c r="A52" s="10"/>
      <c r="B52" s="11" t="s">
        <v>149</v>
      </c>
    </row>
    <row r="53" spans="1:2" x14ac:dyDescent="0.35">
      <c r="A53" s="10"/>
      <c r="B53" s="11" t="s">
        <v>150</v>
      </c>
    </row>
    <row r="54" spans="1:2" x14ac:dyDescent="0.35">
      <c r="A54" s="10"/>
      <c r="B54" s="11" t="s">
        <v>151</v>
      </c>
    </row>
    <row r="55" spans="1:2" x14ac:dyDescent="0.35">
      <c r="A55" s="10"/>
      <c r="B55" s="11" t="s">
        <v>152</v>
      </c>
    </row>
    <row r="56" spans="1:2" x14ac:dyDescent="0.35">
      <c r="A56" s="10"/>
      <c r="B56" s="11" t="s">
        <v>153</v>
      </c>
    </row>
    <row r="57" spans="1:2" x14ac:dyDescent="0.35">
      <c r="A57" s="10"/>
      <c r="B57" s="11" t="s">
        <v>154</v>
      </c>
    </row>
    <row r="58" spans="1:2" x14ac:dyDescent="0.35">
      <c r="A58" s="10"/>
      <c r="B58" s="11" t="s">
        <v>155</v>
      </c>
    </row>
    <row r="59" spans="1:2" x14ac:dyDescent="0.35">
      <c r="A59" s="10"/>
      <c r="B59" s="11" t="s">
        <v>156</v>
      </c>
    </row>
    <row r="61" spans="1:2" x14ac:dyDescent="0.35">
      <c r="A61" s="5" t="s">
        <v>73</v>
      </c>
    </row>
    <row r="62" spans="1:2" ht="10.5" customHeight="1" x14ac:dyDescent="0.35"/>
    <row r="63" spans="1:2" s="12" customFormat="1" ht="15" x14ac:dyDescent="0.3">
      <c r="A63" s="12">
        <v>1</v>
      </c>
      <c r="B63" s="13" t="s">
        <v>74</v>
      </c>
    </row>
    <row r="64" spans="1:2" s="12" customFormat="1" ht="15" x14ac:dyDescent="0.3">
      <c r="A64" s="12">
        <v>2</v>
      </c>
      <c r="B64" s="13" t="s">
        <v>75</v>
      </c>
    </row>
    <row r="65" spans="1:2" s="12" customFormat="1" ht="15" x14ac:dyDescent="0.3">
      <c r="A65" s="12">
        <v>3</v>
      </c>
      <c r="B65" s="13" t="s">
        <v>76</v>
      </c>
    </row>
    <row r="66" spans="1:2" s="12" customFormat="1" ht="15" x14ac:dyDescent="0.3">
      <c r="A66" s="12">
        <v>4</v>
      </c>
      <c r="B66" s="13" t="s">
        <v>77</v>
      </c>
    </row>
    <row r="67" spans="1:2" s="12" customFormat="1" ht="15" x14ac:dyDescent="0.3">
      <c r="A67" s="12">
        <v>5</v>
      </c>
      <c r="B67" s="13" t="s">
        <v>78</v>
      </c>
    </row>
    <row r="68" spans="1:2" s="12" customFormat="1" ht="15" x14ac:dyDescent="0.3">
      <c r="A68" s="12">
        <v>6</v>
      </c>
      <c r="B68" s="13" t="s">
        <v>79</v>
      </c>
    </row>
    <row r="69" spans="1:2" s="12" customFormat="1" ht="15" x14ac:dyDescent="0.3">
      <c r="A69" s="12">
        <v>7</v>
      </c>
      <c r="B69" s="13" t="s">
        <v>80</v>
      </c>
    </row>
    <row r="70" spans="1:2" s="12" customFormat="1" ht="15" x14ac:dyDescent="0.3">
      <c r="A70" s="12">
        <v>8</v>
      </c>
      <c r="B70" s="13" t="s">
        <v>81</v>
      </c>
    </row>
    <row r="71" spans="1:2" s="12" customFormat="1" ht="15" x14ac:dyDescent="0.3">
      <c r="A71" s="12">
        <v>9</v>
      </c>
      <c r="B71" s="13" t="s">
        <v>82</v>
      </c>
    </row>
    <row r="72" spans="1:2" s="12" customFormat="1" ht="15" x14ac:dyDescent="0.3">
      <c r="A72" s="12">
        <v>10</v>
      </c>
      <c r="B72" s="13" t="s">
        <v>83</v>
      </c>
    </row>
    <row r="73" spans="1:2" s="12" customFormat="1" ht="15" x14ac:dyDescent="0.3">
      <c r="A73" s="12">
        <v>11</v>
      </c>
      <c r="B73" s="13" t="s">
        <v>84</v>
      </c>
    </row>
    <row r="74" spans="1:2" s="12" customFormat="1" ht="15" x14ac:dyDescent="0.3">
      <c r="A74" s="12">
        <v>12</v>
      </c>
      <c r="B74" s="13" t="s">
        <v>85</v>
      </c>
    </row>
    <row r="75" spans="1:2" s="12" customFormat="1" ht="15" x14ac:dyDescent="0.3">
      <c r="A75" s="12">
        <v>13</v>
      </c>
      <c r="B75" s="13" t="s">
        <v>86</v>
      </c>
    </row>
    <row r="76" spans="1:2" s="12" customFormat="1" ht="15" x14ac:dyDescent="0.3">
      <c r="A76" s="12">
        <v>14</v>
      </c>
      <c r="B76" s="13" t="s">
        <v>87</v>
      </c>
    </row>
    <row r="77" spans="1:2" s="12" customFormat="1" ht="15" x14ac:dyDescent="0.3">
      <c r="A77" s="12">
        <v>15</v>
      </c>
      <c r="B77" s="13" t="s">
        <v>88</v>
      </c>
    </row>
    <row r="78" spans="1:2" s="12" customFormat="1" ht="15" x14ac:dyDescent="0.3">
      <c r="A78" s="12">
        <v>16</v>
      </c>
      <c r="B78" s="13" t="s">
        <v>89</v>
      </c>
    </row>
    <row r="79" spans="1:2" s="12" customFormat="1" ht="15" x14ac:dyDescent="0.3">
      <c r="A79" s="12">
        <v>17</v>
      </c>
      <c r="B79" s="13" t="s">
        <v>90</v>
      </c>
    </row>
    <row r="80" spans="1:2" s="12" customFormat="1" ht="15" x14ac:dyDescent="0.3">
      <c r="A80" s="12">
        <v>18</v>
      </c>
      <c r="B80" s="13" t="s">
        <v>91</v>
      </c>
    </row>
    <row r="81" spans="1:2" s="12" customFormat="1" ht="15" x14ac:dyDescent="0.3">
      <c r="A81" s="12">
        <v>19</v>
      </c>
      <c r="B81" s="13" t="s">
        <v>92</v>
      </c>
    </row>
    <row r="82" spans="1:2" s="12" customFormat="1" ht="15" x14ac:dyDescent="0.3">
      <c r="A82" s="12">
        <v>20</v>
      </c>
      <c r="B82" s="13" t="s">
        <v>93</v>
      </c>
    </row>
    <row r="83" spans="1:2" s="12" customFormat="1" ht="15" x14ac:dyDescent="0.3">
      <c r="A83" s="12">
        <v>21</v>
      </c>
      <c r="B83" s="13" t="s">
        <v>94</v>
      </c>
    </row>
    <row r="84" spans="1:2" s="12" customFormat="1" ht="15" x14ac:dyDescent="0.3">
      <c r="A84" s="12">
        <v>22</v>
      </c>
      <c r="B84" s="13" t="s">
        <v>95</v>
      </c>
    </row>
    <row r="85" spans="1:2" s="12" customFormat="1" ht="15" x14ac:dyDescent="0.3">
      <c r="A85" s="12">
        <v>23</v>
      </c>
      <c r="B85" s="13" t="s">
        <v>96</v>
      </c>
    </row>
    <row r="99" spans="2:2" s="8" customFormat="1" x14ac:dyDescent="0.35">
      <c r="B99" s="9"/>
    </row>
    <row r="101" spans="2:2" s="8" customFormat="1" x14ac:dyDescent="0.35">
      <c r="B101" s="9"/>
    </row>
    <row r="102" spans="2:2" s="8" customFormat="1" x14ac:dyDescent="0.35">
      <c r="B102" s="9"/>
    </row>
    <row r="105" spans="2:2" s="8" customFormat="1" x14ac:dyDescent="0.35">
      <c r="B105" s="9"/>
    </row>
    <row r="109" spans="2:2" s="8" customFormat="1" x14ac:dyDescent="0.35">
      <c r="B109" s="9"/>
    </row>
    <row r="111" spans="2:2" s="8" customFormat="1" x14ac:dyDescent="0.35">
      <c r="B111" s="9"/>
    </row>
    <row r="112" spans="2:2" s="8" customFormat="1" x14ac:dyDescent="0.35">
      <c r="B112" s="9"/>
    </row>
    <row r="113" spans="2:2" s="8" customFormat="1" x14ac:dyDescent="0.35">
      <c r="B113" s="9"/>
    </row>
    <row r="114" spans="2:2" s="8" customFormat="1" x14ac:dyDescent="0.35">
      <c r="B114" s="9"/>
    </row>
    <row r="115" spans="2:2" s="8" customFormat="1" x14ac:dyDescent="0.35">
      <c r="B115" s="9"/>
    </row>
    <row r="116" spans="2:2" s="8" customFormat="1" x14ac:dyDescent="0.35">
      <c r="B116" s="9"/>
    </row>
    <row r="117" spans="2:2" s="8" customFormat="1" x14ac:dyDescent="0.35">
      <c r="B117" s="9"/>
    </row>
  </sheetData>
  <mergeCells count="11">
    <mergeCell ref="K3:K4"/>
    <mergeCell ref="C6:E6"/>
    <mergeCell ref="C7:E7"/>
    <mergeCell ref="D2:K2"/>
    <mergeCell ref="J3:J4"/>
    <mergeCell ref="H3:I4"/>
    <mergeCell ref="B3:B4"/>
    <mergeCell ref="C3:C4"/>
    <mergeCell ref="D3:D4"/>
    <mergeCell ref="E3:E4"/>
    <mergeCell ref="F3: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4"/>
  <sheetViews>
    <sheetView zoomScale="90" zoomScaleNormal="90" workbookViewId="0">
      <pane xSplit="1" ySplit="2" topLeftCell="B3" activePane="bottomRight" state="frozen"/>
      <selection pane="topRight" activeCell="B1" sqref="B1"/>
      <selection pane="bottomLeft" activeCell="A3" sqref="A3"/>
      <selection pane="bottomRight" activeCell="A59" sqref="A59"/>
    </sheetView>
  </sheetViews>
  <sheetFormatPr baseColWidth="10" defaultColWidth="11.42578125" defaultRowHeight="18" x14ac:dyDescent="0.35"/>
  <cols>
    <col min="1" max="1" width="71.85546875" style="9" customWidth="1"/>
    <col min="2" max="4" width="10.140625" style="8" customWidth="1"/>
    <col min="5" max="5" width="13.5703125" style="8" customWidth="1"/>
    <col min="6" max="6" width="14" style="8" customWidth="1"/>
    <col min="7" max="8" width="13.5703125" style="8" customWidth="1"/>
    <col min="9" max="9" width="13.5703125" style="8" bestFit="1" customWidth="1"/>
    <col min="10" max="10" width="85.5703125" style="9" customWidth="1"/>
    <col min="11" max="12" width="9.5703125" style="8" customWidth="1"/>
    <col min="13" max="13" width="9.85546875" style="8" bestFit="1" customWidth="1"/>
    <col min="14" max="14" width="11.5703125" style="8" bestFit="1" customWidth="1"/>
    <col min="15" max="16384" width="11.42578125" style="8"/>
  </cols>
  <sheetData>
    <row r="1" spans="1:14" ht="62.25" customHeight="1" x14ac:dyDescent="0.35">
      <c r="D1" s="29"/>
      <c r="E1" s="27" t="s">
        <v>97</v>
      </c>
      <c r="F1" s="29"/>
      <c r="G1" s="27" t="s">
        <v>98</v>
      </c>
      <c r="H1" s="27"/>
      <c r="J1" s="102" t="s">
        <v>137</v>
      </c>
      <c r="K1" s="98" t="s">
        <v>191</v>
      </c>
      <c r="L1" s="98"/>
      <c r="M1" s="98"/>
    </row>
    <row r="2" spans="1:14" x14ac:dyDescent="0.35">
      <c r="A2" s="30" t="s">
        <v>8</v>
      </c>
      <c r="B2" s="27">
        <v>2015</v>
      </c>
      <c r="C2" s="27">
        <v>2020</v>
      </c>
      <c r="D2" s="27">
        <v>2030</v>
      </c>
      <c r="E2" s="31" t="s">
        <v>99</v>
      </c>
      <c r="F2" s="27">
        <v>2050</v>
      </c>
      <c r="G2" s="31" t="s">
        <v>100</v>
      </c>
      <c r="H2" s="31"/>
      <c r="I2" s="27" t="s">
        <v>11</v>
      </c>
      <c r="J2" s="102"/>
      <c r="K2" s="27">
        <v>2020</v>
      </c>
      <c r="L2" s="27">
        <v>2030</v>
      </c>
      <c r="M2" s="32">
        <v>2050</v>
      </c>
      <c r="N2" s="8" t="s">
        <v>101</v>
      </c>
    </row>
    <row r="3" spans="1:14" ht="63" customHeight="1" x14ac:dyDescent="0.35">
      <c r="A3" s="33" t="s">
        <v>167</v>
      </c>
      <c r="B3" s="34">
        <v>3.2</v>
      </c>
      <c r="C3" s="34">
        <v>6</v>
      </c>
      <c r="D3" s="34">
        <v>7</v>
      </c>
      <c r="E3" s="35">
        <f t="shared" ref="E3:E14" si="0">(D3-C3)/C3</f>
        <v>0.16666666666666666</v>
      </c>
      <c r="F3" s="34">
        <v>8</v>
      </c>
      <c r="G3" s="35">
        <f>(F3-D3)/D3</f>
        <v>0.14285714285714285</v>
      </c>
      <c r="H3" s="35"/>
      <c r="I3" s="95" t="s">
        <v>53</v>
      </c>
      <c r="J3" s="95" t="s">
        <v>208</v>
      </c>
      <c r="K3" s="36">
        <f>'Lithium Ion'!C8</f>
        <v>6</v>
      </c>
      <c r="L3" s="17">
        <f t="shared" ref="L3:L14" si="1">K3*(1+E3)</f>
        <v>7</v>
      </c>
      <c r="M3" s="17">
        <f t="shared" ref="M3:M9" si="2">L3*(1+G3)</f>
        <v>8</v>
      </c>
    </row>
    <row r="4" spans="1:14" ht="61.5" customHeight="1" x14ac:dyDescent="0.35">
      <c r="A4" s="33" t="s">
        <v>168</v>
      </c>
      <c r="B4" s="34">
        <v>9.6</v>
      </c>
      <c r="C4" s="34">
        <v>18</v>
      </c>
      <c r="D4" s="34">
        <v>21</v>
      </c>
      <c r="E4" s="35">
        <f t="shared" si="0"/>
        <v>0.16666666666666666</v>
      </c>
      <c r="F4" s="34">
        <v>24</v>
      </c>
      <c r="G4" s="35">
        <f t="shared" ref="G4:G10" si="3">(F4-D4)/D4</f>
        <v>0.14285714285714285</v>
      </c>
      <c r="H4" s="35"/>
      <c r="I4" s="95"/>
      <c r="J4" s="95"/>
      <c r="K4" s="36">
        <f>'Lithium Ion'!C9</f>
        <v>3</v>
      </c>
      <c r="L4" s="17">
        <f t="shared" si="1"/>
        <v>3.5</v>
      </c>
      <c r="M4" s="17">
        <f t="shared" si="2"/>
        <v>4</v>
      </c>
      <c r="N4" s="37">
        <f>C4/C3</f>
        <v>3</v>
      </c>
    </row>
    <row r="5" spans="1:14" ht="61.5" customHeight="1" x14ac:dyDescent="0.35">
      <c r="A5" s="33" t="s">
        <v>169</v>
      </c>
      <c r="B5" s="34">
        <v>1.6</v>
      </c>
      <c r="C5" s="36">
        <v>3</v>
      </c>
      <c r="D5" s="34">
        <v>3.5</v>
      </c>
      <c r="E5" s="35">
        <f t="shared" si="0"/>
        <v>0.16666666666666666</v>
      </c>
      <c r="F5" s="36">
        <v>4</v>
      </c>
      <c r="G5" s="35">
        <f t="shared" si="3"/>
        <v>0.14285714285714285</v>
      </c>
      <c r="H5" s="35"/>
      <c r="I5" s="95"/>
      <c r="J5" s="95"/>
      <c r="K5" s="36">
        <f>'Lithium Ion'!C10</f>
        <v>3</v>
      </c>
      <c r="L5" s="17">
        <f t="shared" si="1"/>
        <v>3.5</v>
      </c>
      <c r="M5" s="17">
        <f t="shared" si="2"/>
        <v>4</v>
      </c>
      <c r="N5" s="37">
        <f>C5/C3</f>
        <v>0.5</v>
      </c>
    </row>
    <row r="6" spans="1:14" ht="25.9" customHeight="1" x14ac:dyDescent="0.35">
      <c r="A6" s="33" t="s">
        <v>170</v>
      </c>
      <c r="B6" s="34">
        <v>91</v>
      </c>
      <c r="C6" s="36">
        <v>91</v>
      </c>
      <c r="D6" s="36">
        <v>92</v>
      </c>
      <c r="E6" s="38">
        <f t="shared" si="0"/>
        <v>1.098901098901099E-2</v>
      </c>
      <c r="F6" s="36">
        <v>92</v>
      </c>
      <c r="G6" s="39">
        <f t="shared" si="3"/>
        <v>0</v>
      </c>
      <c r="H6" s="35"/>
      <c r="I6" s="95"/>
      <c r="J6" s="96" t="s">
        <v>209</v>
      </c>
      <c r="K6" s="34">
        <f>'Lithium Ion'!C11</f>
        <v>92</v>
      </c>
      <c r="L6" s="24">
        <f t="shared" si="1"/>
        <v>93.010989010989007</v>
      </c>
      <c r="M6" s="24">
        <f t="shared" si="2"/>
        <v>93.010989010989007</v>
      </c>
    </row>
    <row r="7" spans="1:14" ht="25.9" customHeight="1" x14ac:dyDescent="0.35">
      <c r="A7" s="33" t="s">
        <v>171</v>
      </c>
      <c r="B7" s="34">
        <v>95</v>
      </c>
      <c r="C7" s="36">
        <v>95</v>
      </c>
      <c r="D7" s="36">
        <v>96</v>
      </c>
      <c r="E7" s="38">
        <f t="shared" si="0"/>
        <v>1.0526315789473684E-2</v>
      </c>
      <c r="F7" s="36">
        <v>96</v>
      </c>
      <c r="G7" s="39">
        <f t="shared" si="3"/>
        <v>0</v>
      </c>
      <c r="H7" s="35"/>
      <c r="I7" s="95"/>
      <c r="J7" s="96"/>
      <c r="K7" s="34">
        <f>'Lithium Ion'!C12</f>
        <v>96.039999999999992</v>
      </c>
      <c r="L7" s="24">
        <f t="shared" si="1"/>
        <v>97.050947368421049</v>
      </c>
      <c r="M7" s="24">
        <f t="shared" si="2"/>
        <v>97.050947368421049</v>
      </c>
    </row>
    <row r="8" spans="1:14" ht="25.9" customHeight="1" x14ac:dyDescent="0.35">
      <c r="A8" s="33" t="s">
        <v>172</v>
      </c>
      <c r="B8" s="34">
        <v>98</v>
      </c>
      <c r="C8" s="36">
        <v>98</v>
      </c>
      <c r="D8" s="36">
        <v>98.5</v>
      </c>
      <c r="E8" s="38">
        <f t="shared" si="0"/>
        <v>5.1020408163265302E-3</v>
      </c>
      <c r="F8" s="36">
        <v>98.5</v>
      </c>
      <c r="G8" s="39">
        <f t="shared" si="3"/>
        <v>0</v>
      </c>
      <c r="H8" s="35"/>
      <c r="I8" s="95"/>
      <c r="J8" s="97" t="s">
        <v>210</v>
      </c>
      <c r="K8" s="34">
        <f>'Lithium Ion'!C13</f>
        <v>98</v>
      </c>
      <c r="L8" s="24">
        <f t="shared" si="1"/>
        <v>98.5</v>
      </c>
      <c r="M8" s="24">
        <f t="shared" si="2"/>
        <v>98.5</v>
      </c>
      <c r="N8" s="40"/>
    </row>
    <row r="9" spans="1:14" ht="25.9" customHeight="1" x14ac:dyDescent="0.35">
      <c r="A9" s="33" t="s">
        <v>173</v>
      </c>
      <c r="B9" s="34">
        <v>97</v>
      </c>
      <c r="C9" s="36">
        <v>97</v>
      </c>
      <c r="D9" s="36">
        <v>97.5</v>
      </c>
      <c r="E9" s="38">
        <f t="shared" si="0"/>
        <v>5.1546391752577319E-3</v>
      </c>
      <c r="F9" s="36">
        <v>97.5</v>
      </c>
      <c r="G9" s="39">
        <f t="shared" si="3"/>
        <v>0</v>
      </c>
      <c r="H9" s="35"/>
      <c r="I9" s="95"/>
      <c r="J9" s="97"/>
      <c r="K9" s="34">
        <f>'Lithium Ion'!C14</f>
        <v>98</v>
      </c>
      <c r="L9" s="24">
        <f t="shared" si="1"/>
        <v>98.505154639175259</v>
      </c>
      <c r="M9" s="24">
        <f t="shared" si="2"/>
        <v>98.505154639175259</v>
      </c>
      <c r="N9" s="40"/>
    </row>
    <row r="10" spans="1:14" ht="60" x14ac:dyDescent="0.35">
      <c r="A10" s="33" t="s">
        <v>174</v>
      </c>
      <c r="B10" s="34">
        <v>0.1</v>
      </c>
      <c r="C10" s="36">
        <v>0.1</v>
      </c>
      <c r="D10" s="36">
        <v>0.1</v>
      </c>
      <c r="E10" s="38">
        <f t="shared" si="0"/>
        <v>0</v>
      </c>
      <c r="F10" s="36">
        <v>0.1</v>
      </c>
      <c r="G10" s="39">
        <f t="shared" si="3"/>
        <v>0</v>
      </c>
      <c r="H10" s="35"/>
      <c r="I10" s="95"/>
      <c r="J10" s="41" t="s">
        <v>211</v>
      </c>
      <c r="K10" s="34">
        <f>'Lithium Ion'!C15</f>
        <v>0.1</v>
      </c>
      <c r="L10" s="18">
        <f t="shared" si="1"/>
        <v>0.1</v>
      </c>
      <c r="M10" s="18">
        <f>L10*(1+E10)</f>
        <v>0.1</v>
      </c>
    </row>
    <row r="11" spans="1:14" ht="184.5" customHeight="1" x14ac:dyDescent="0.35">
      <c r="A11" s="33" t="s">
        <v>175</v>
      </c>
      <c r="B11" s="34">
        <v>0.4</v>
      </c>
      <c r="C11" s="34">
        <v>0.38</v>
      </c>
      <c r="D11" s="34">
        <v>0.35</v>
      </c>
      <c r="E11" s="35">
        <f t="shared" si="0"/>
        <v>-7.8947368421052697E-2</v>
      </c>
      <c r="F11" s="42">
        <v>0.25</v>
      </c>
      <c r="G11" s="35">
        <f t="shared" ref="G11:G14" si="4">(F11-D11)/D11</f>
        <v>-0.28571428571428564</v>
      </c>
      <c r="H11" s="35"/>
      <c r="I11" s="95" t="s">
        <v>53</v>
      </c>
      <c r="J11" s="97" t="s">
        <v>212</v>
      </c>
      <c r="K11" s="34">
        <f>'Lithium Ion'!C16</f>
        <v>0.38</v>
      </c>
      <c r="L11" s="18">
        <f t="shared" si="1"/>
        <v>0.35</v>
      </c>
      <c r="M11" s="18">
        <f>L11*(1+E11)</f>
        <v>0.32236842105263153</v>
      </c>
    </row>
    <row r="12" spans="1:14" x14ac:dyDescent="0.35">
      <c r="A12" s="33" t="s">
        <v>176</v>
      </c>
      <c r="B12" s="34">
        <v>0.2</v>
      </c>
      <c r="C12" s="34">
        <v>0.2</v>
      </c>
      <c r="D12" s="34">
        <v>0.1</v>
      </c>
      <c r="E12" s="39">
        <f t="shared" si="0"/>
        <v>-0.5</v>
      </c>
      <c r="F12" s="42">
        <v>0.1</v>
      </c>
      <c r="G12" s="39">
        <f t="shared" si="4"/>
        <v>0</v>
      </c>
      <c r="H12" s="35"/>
      <c r="I12" s="95"/>
      <c r="J12" s="97"/>
      <c r="K12" s="34">
        <f>'Lithium Ion'!C17</f>
        <v>0.2</v>
      </c>
      <c r="L12" s="18">
        <f t="shared" si="1"/>
        <v>0.1</v>
      </c>
      <c r="M12" s="18">
        <f>L12*(1+E12)</f>
        <v>0.05</v>
      </c>
    </row>
    <row r="13" spans="1:14" ht="80.849999999999994" customHeight="1" x14ac:dyDescent="0.35">
      <c r="A13" s="33" t="s">
        <v>177</v>
      </c>
      <c r="B13" s="34">
        <v>15</v>
      </c>
      <c r="C13" s="34">
        <v>20</v>
      </c>
      <c r="D13" s="34">
        <v>25</v>
      </c>
      <c r="E13" s="35">
        <f t="shared" si="0"/>
        <v>0.25</v>
      </c>
      <c r="F13" s="42">
        <v>30</v>
      </c>
      <c r="G13" s="35">
        <f t="shared" si="4"/>
        <v>0.2</v>
      </c>
      <c r="H13" s="35"/>
      <c r="I13" s="95"/>
      <c r="J13" s="25" t="s">
        <v>213</v>
      </c>
      <c r="K13" s="34">
        <f>'Lithium Ion'!C18</f>
        <v>20</v>
      </c>
      <c r="L13" s="18">
        <f t="shared" si="1"/>
        <v>25</v>
      </c>
      <c r="M13" s="18">
        <f>L13*(1+E13)</f>
        <v>31.25</v>
      </c>
    </row>
    <row r="14" spans="1:14" ht="73.5" customHeight="1" x14ac:dyDescent="0.35">
      <c r="A14" s="33" t="s">
        <v>178</v>
      </c>
      <c r="B14" s="34">
        <v>0.25</v>
      </c>
      <c r="C14" s="34">
        <v>0.2</v>
      </c>
      <c r="D14" s="34">
        <v>0.2</v>
      </c>
      <c r="E14" s="35">
        <f t="shared" si="0"/>
        <v>0</v>
      </c>
      <c r="F14" s="42">
        <v>0.2</v>
      </c>
      <c r="G14" s="35">
        <f t="shared" si="4"/>
        <v>0</v>
      </c>
      <c r="H14" s="35"/>
      <c r="I14" s="95"/>
      <c r="J14" s="25" t="s">
        <v>214</v>
      </c>
      <c r="K14" s="34">
        <f>'Lithium Ion'!C19</f>
        <v>0.2</v>
      </c>
      <c r="L14" s="18">
        <f t="shared" si="1"/>
        <v>0.2</v>
      </c>
      <c r="M14" s="18">
        <f>L14*(1+E14)</f>
        <v>0.2</v>
      </c>
    </row>
    <row r="15" spans="1:14" ht="31.5" customHeight="1" x14ac:dyDescent="0.35">
      <c r="A15" s="33" t="s">
        <v>179</v>
      </c>
      <c r="B15" s="34"/>
      <c r="C15" s="34" t="s">
        <v>102</v>
      </c>
      <c r="D15" s="34" t="s">
        <v>102</v>
      </c>
      <c r="E15" s="34"/>
      <c r="F15" s="34" t="s">
        <v>102</v>
      </c>
      <c r="G15" s="34"/>
      <c r="H15" s="35"/>
      <c r="I15" s="95" t="s">
        <v>46</v>
      </c>
      <c r="J15" s="97" t="s">
        <v>216</v>
      </c>
      <c r="K15" s="34"/>
      <c r="L15" s="34"/>
      <c r="M15" s="43"/>
    </row>
    <row r="16" spans="1:14" ht="30" customHeight="1" x14ac:dyDescent="0.35">
      <c r="A16" s="33" t="s">
        <v>180</v>
      </c>
      <c r="B16" s="34"/>
      <c r="C16" s="34" t="s">
        <v>102</v>
      </c>
      <c r="D16" s="34" t="s">
        <v>102</v>
      </c>
      <c r="E16" s="34"/>
      <c r="F16" s="34" t="s">
        <v>102</v>
      </c>
      <c r="G16" s="34"/>
      <c r="H16" s="35"/>
      <c r="I16" s="95"/>
      <c r="J16" s="97"/>
      <c r="K16" s="34"/>
      <c r="L16" s="34"/>
      <c r="M16" s="43"/>
    </row>
    <row r="17" spans="1:13" ht="31.15" customHeight="1" x14ac:dyDescent="0.35">
      <c r="A17" s="33" t="s">
        <v>181</v>
      </c>
      <c r="B17" s="34"/>
      <c r="C17" s="34"/>
      <c r="D17" s="34"/>
      <c r="E17" s="34"/>
      <c r="F17" s="28"/>
      <c r="G17" s="28"/>
      <c r="H17" s="35"/>
      <c r="I17" s="95" t="s">
        <v>112</v>
      </c>
      <c r="J17" s="44" t="s">
        <v>217</v>
      </c>
      <c r="K17" s="34"/>
      <c r="L17" s="34"/>
      <c r="M17" s="43"/>
    </row>
    <row r="18" spans="1:13" ht="60" x14ac:dyDescent="0.35">
      <c r="A18" s="33" t="s">
        <v>182</v>
      </c>
      <c r="B18" s="28">
        <v>1.365</v>
      </c>
      <c r="C18" s="28">
        <v>0.79</v>
      </c>
      <c r="D18" s="28">
        <v>0.46100000000000002</v>
      </c>
      <c r="E18" s="38">
        <f t="shared" ref="E18:E30" si="5">(D18-C18)/C18</f>
        <v>-0.41645569620253164</v>
      </c>
      <c r="F18" s="28">
        <v>0.316</v>
      </c>
      <c r="G18" s="35">
        <f t="shared" ref="G18:G19" si="6">(F18-D18)/D18</f>
        <v>-0.31453362255965295</v>
      </c>
      <c r="H18" s="35"/>
      <c r="I18" s="95"/>
      <c r="J18" s="34" t="s">
        <v>218</v>
      </c>
      <c r="K18" s="42">
        <f>'Lithium Ion'!C26</f>
        <v>0.14652000000000001</v>
      </c>
      <c r="L18" s="18">
        <f t="shared" ref="L18:L30" si="7">K18*(1+E18)</f>
        <v>8.5500911392405066E-2</v>
      </c>
      <c r="M18" s="18">
        <f t="shared" ref="M18:M25" si="8">L18*(1+E18)</f>
        <v>4.9893569812530042E-2</v>
      </c>
    </row>
    <row r="19" spans="1:13" ht="157.5" customHeight="1" x14ac:dyDescent="0.35">
      <c r="A19" s="33" t="s">
        <v>183</v>
      </c>
      <c r="B19" s="28">
        <v>0.32</v>
      </c>
      <c r="C19" s="28">
        <v>0.3</v>
      </c>
      <c r="D19" s="28">
        <v>0.18</v>
      </c>
      <c r="E19" s="38">
        <f t="shared" si="5"/>
        <v>-0.4</v>
      </c>
      <c r="F19" s="28">
        <v>7.0000000000000007E-2</v>
      </c>
      <c r="G19" s="38">
        <f t="shared" si="6"/>
        <v>-0.61111111111111105</v>
      </c>
      <c r="H19" s="35"/>
      <c r="I19" s="34" t="s">
        <v>53</v>
      </c>
      <c r="J19" s="34" t="s">
        <v>220</v>
      </c>
      <c r="K19" s="42">
        <f>'Lithium Ion'!C27</f>
        <v>0.29970000000000002</v>
      </c>
      <c r="L19" s="18">
        <f t="shared" si="7"/>
        <v>0.17982000000000001</v>
      </c>
      <c r="M19" s="18">
        <f t="shared" si="8"/>
        <v>0.107892</v>
      </c>
    </row>
    <row r="20" spans="1:13" ht="143.25" customHeight="1" x14ac:dyDescent="0.35">
      <c r="A20" s="33" t="s">
        <v>184</v>
      </c>
      <c r="B20" s="28">
        <v>0.11</v>
      </c>
      <c r="C20" s="28">
        <v>0.1</v>
      </c>
      <c r="D20" s="28">
        <v>0.08</v>
      </c>
      <c r="E20" s="38">
        <f t="shared" si="5"/>
        <v>-0.20000000000000004</v>
      </c>
      <c r="F20" s="28">
        <v>0.04</v>
      </c>
      <c r="G20" s="38">
        <f>(F20-D20)/D20</f>
        <v>-0.5</v>
      </c>
      <c r="H20" s="35"/>
      <c r="I20" s="95" t="s">
        <v>53</v>
      </c>
      <c r="J20" s="34" t="s">
        <v>219</v>
      </c>
      <c r="K20" s="42">
        <f>'Lithium Ion'!C28</f>
        <v>0.11100000000000002</v>
      </c>
      <c r="L20" s="18">
        <f t="shared" si="7"/>
        <v>8.8800000000000004E-2</v>
      </c>
      <c r="M20" s="18">
        <f t="shared" si="8"/>
        <v>7.1039999999999992E-2</v>
      </c>
    </row>
    <row r="21" spans="1:13" ht="76.5" customHeight="1" x14ac:dyDescent="0.35">
      <c r="A21" s="33" t="s">
        <v>185</v>
      </c>
      <c r="B21" s="34">
        <v>0.54</v>
      </c>
      <c r="C21" s="34">
        <v>0.54</v>
      </c>
      <c r="D21" s="34">
        <v>0.54</v>
      </c>
      <c r="E21" s="35">
        <f t="shared" si="5"/>
        <v>0</v>
      </c>
      <c r="F21" s="34">
        <v>0.54</v>
      </c>
      <c r="G21" s="35">
        <f t="shared" ref="G21:G30" si="9">(F21-D21)/D21</f>
        <v>0</v>
      </c>
      <c r="H21" s="35"/>
      <c r="I21" s="95"/>
      <c r="J21" s="34" t="s">
        <v>221</v>
      </c>
      <c r="K21" s="42">
        <f>'Lithium Ion'!C29</f>
        <v>0.54</v>
      </c>
      <c r="L21" s="18">
        <f t="shared" si="7"/>
        <v>0.54</v>
      </c>
      <c r="M21" s="18">
        <f t="shared" si="8"/>
        <v>0.54</v>
      </c>
    </row>
    <row r="22" spans="1:13" ht="60.75" customHeight="1" x14ac:dyDescent="0.35">
      <c r="A22" s="33" t="s">
        <v>186</v>
      </c>
      <c r="B22" s="34">
        <v>2.1</v>
      </c>
      <c r="C22" s="34">
        <v>2</v>
      </c>
      <c r="D22" s="34">
        <v>1.8</v>
      </c>
      <c r="E22" s="35">
        <f t="shared" si="5"/>
        <v>-9.9999999999999978E-2</v>
      </c>
      <c r="F22" s="42">
        <v>1.6</v>
      </c>
      <c r="G22" s="35">
        <f t="shared" si="9"/>
        <v>-0.11111111111111108</v>
      </c>
      <c r="H22" s="35"/>
      <c r="I22" s="95"/>
      <c r="J22" s="45" t="s">
        <v>222</v>
      </c>
      <c r="K22" s="42">
        <f>'Lithium Ion'!C30</f>
        <v>2.2200000000000002</v>
      </c>
      <c r="L22" s="18">
        <f t="shared" si="7"/>
        <v>1.9980000000000002</v>
      </c>
      <c r="M22" s="18">
        <f t="shared" si="8"/>
        <v>1.7982000000000002</v>
      </c>
    </row>
    <row r="23" spans="1:13" ht="41.45" customHeight="1" x14ac:dyDescent="0.35">
      <c r="A23" s="33" t="s">
        <v>187</v>
      </c>
      <c r="B23" s="28">
        <v>0.41799999999999998</v>
      </c>
      <c r="C23" s="28">
        <v>0.23200000000000001</v>
      </c>
      <c r="D23" s="28">
        <v>0.14199999999999999</v>
      </c>
      <c r="E23" s="38">
        <f t="shared" si="5"/>
        <v>-0.38793103448275873</v>
      </c>
      <c r="F23" s="28">
        <v>7.4999999999999997E-2</v>
      </c>
      <c r="G23" s="38">
        <f t="shared" si="9"/>
        <v>-0.47183098591549294</v>
      </c>
      <c r="H23" s="35"/>
      <c r="I23" s="95"/>
      <c r="J23" s="45" t="s">
        <v>223</v>
      </c>
      <c r="K23" s="42">
        <f>'Lithium Ion'!C32</f>
        <v>0.25752000000000003</v>
      </c>
      <c r="L23" s="18">
        <f t="shared" si="7"/>
        <v>0.15762000000000001</v>
      </c>
      <c r="M23" s="18">
        <f t="shared" si="8"/>
        <v>9.6474310344827591E-2</v>
      </c>
    </row>
    <row r="24" spans="1:13" ht="41.45" customHeight="1" x14ac:dyDescent="0.35">
      <c r="A24" s="33" t="s">
        <v>188</v>
      </c>
      <c r="B24" s="28">
        <v>0.28999999999999998</v>
      </c>
      <c r="C24" s="28">
        <v>0.27</v>
      </c>
      <c r="D24" s="28">
        <v>0.16</v>
      </c>
      <c r="E24" s="38">
        <f t="shared" si="5"/>
        <v>-0.40740740740740744</v>
      </c>
      <c r="F24" s="28">
        <v>0.06</v>
      </c>
      <c r="G24" s="38">
        <f t="shared" si="9"/>
        <v>-0.625</v>
      </c>
      <c r="H24" s="35"/>
      <c r="I24" s="95"/>
      <c r="J24" s="45" t="s">
        <v>224</v>
      </c>
      <c r="K24" s="42">
        <f>'Lithium Ion'!C33</f>
        <v>0.29970000000000002</v>
      </c>
      <c r="L24" s="18">
        <f t="shared" si="7"/>
        <v>0.17760000000000001</v>
      </c>
      <c r="M24" s="18">
        <f t="shared" si="8"/>
        <v>0.10524444444444445</v>
      </c>
    </row>
    <row r="25" spans="1:13" ht="54" x14ac:dyDescent="0.35">
      <c r="A25" s="33" t="s">
        <v>189</v>
      </c>
      <c r="B25" s="28">
        <v>0.39</v>
      </c>
      <c r="C25" s="28">
        <v>0.33</v>
      </c>
      <c r="D25" s="28">
        <v>0.2</v>
      </c>
      <c r="E25" s="38">
        <f t="shared" si="5"/>
        <v>-0.39393939393939392</v>
      </c>
      <c r="F25" s="28">
        <v>0.08</v>
      </c>
      <c r="G25" s="38">
        <f t="shared" si="9"/>
        <v>-0.6</v>
      </c>
      <c r="H25" s="35"/>
      <c r="I25" s="95"/>
      <c r="J25" s="45" t="s">
        <v>225</v>
      </c>
      <c r="K25" s="42">
        <f>'Lithium Ion'!C34</f>
        <v>0.36630000000000007</v>
      </c>
      <c r="L25" s="18">
        <f t="shared" si="7"/>
        <v>0.22200000000000006</v>
      </c>
      <c r="M25" s="18">
        <f t="shared" si="8"/>
        <v>0.13454545454545458</v>
      </c>
    </row>
    <row r="26" spans="1:13" ht="25.9" customHeight="1" x14ac:dyDescent="0.35">
      <c r="A26" s="33" t="s">
        <v>65</v>
      </c>
      <c r="B26" s="46">
        <v>6000</v>
      </c>
      <c r="C26" s="46">
        <v>14000</v>
      </c>
      <c r="D26" s="46">
        <v>30000</v>
      </c>
      <c r="E26" s="38">
        <f t="shared" si="5"/>
        <v>1.1428571428571428</v>
      </c>
      <c r="F26" s="46">
        <v>50000</v>
      </c>
      <c r="G26" s="38">
        <f t="shared" si="9"/>
        <v>0.66666666666666663</v>
      </c>
      <c r="H26" s="35"/>
      <c r="I26" s="95"/>
      <c r="J26" s="47" t="s">
        <v>215</v>
      </c>
      <c r="K26" s="46">
        <f>'Lithium Ion'!C20</f>
        <v>14000</v>
      </c>
      <c r="L26" s="24">
        <f t="shared" si="7"/>
        <v>30000</v>
      </c>
      <c r="M26" s="24">
        <f>L26*(1+G26)</f>
        <v>49999.999999999993</v>
      </c>
    </row>
    <row r="27" spans="1:13" ht="25.9" customHeight="1" x14ac:dyDescent="0.35">
      <c r="A27" s="33" t="s">
        <v>190</v>
      </c>
      <c r="B27" s="46">
        <v>285</v>
      </c>
      <c r="C27" s="46">
        <v>315</v>
      </c>
      <c r="D27" s="46">
        <v>417</v>
      </c>
      <c r="E27" s="38">
        <f t="shared" si="5"/>
        <v>0.32380952380952382</v>
      </c>
      <c r="F27" s="46">
        <v>627</v>
      </c>
      <c r="G27" s="38">
        <f t="shared" si="9"/>
        <v>0.50359712230215825</v>
      </c>
      <c r="H27" s="35"/>
      <c r="I27" s="95"/>
      <c r="J27" s="48" t="s">
        <v>226</v>
      </c>
      <c r="K27" s="46">
        <f>'Lithium Ion'!C35</f>
        <v>57.692307692307693</v>
      </c>
      <c r="L27" s="24">
        <f t="shared" si="7"/>
        <v>76.373626373626379</v>
      </c>
      <c r="M27" s="24">
        <f>L27*(1+E27)</f>
        <v>101.10413396127683</v>
      </c>
    </row>
    <row r="28" spans="1:13" ht="25.9" customHeight="1" x14ac:dyDescent="0.35">
      <c r="A28" s="33" t="s">
        <v>69</v>
      </c>
      <c r="B28" s="46">
        <v>354</v>
      </c>
      <c r="C28" s="46">
        <v>390</v>
      </c>
      <c r="D28" s="46">
        <v>519</v>
      </c>
      <c r="E28" s="38">
        <f t="shared" si="5"/>
        <v>0.33076923076923076</v>
      </c>
      <c r="F28" s="46">
        <v>780</v>
      </c>
      <c r="G28" s="38">
        <f t="shared" si="9"/>
        <v>0.50289017341040465</v>
      </c>
      <c r="H28" s="35"/>
      <c r="I28" s="95"/>
      <c r="J28" s="45" t="s">
        <v>207</v>
      </c>
      <c r="K28" s="46">
        <f>'Lithium Ion'!C36</f>
        <v>68.901330275635885</v>
      </c>
      <c r="L28" s="24">
        <f t="shared" si="7"/>
        <v>91.691770289884673</v>
      </c>
      <c r="M28" s="24">
        <f>L28*(1+E28)</f>
        <v>122.02058661653882</v>
      </c>
    </row>
    <row r="29" spans="1:13" ht="25.9" customHeight="1" x14ac:dyDescent="0.35">
      <c r="A29" s="33" t="s">
        <v>70</v>
      </c>
      <c r="B29" s="46">
        <v>95</v>
      </c>
      <c r="C29" s="46">
        <v>105</v>
      </c>
      <c r="D29" s="46">
        <v>139</v>
      </c>
      <c r="E29" s="38">
        <f t="shared" si="5"/>
        <v>0.32380952380952382</v>
      </c>
      <c r="F29" s="46">
        <v>209</v>
      </c>
      <c r="G29" s="38">
        <f t="shared" si="9"/>
        <v>0.50359712230215825</v>
      </c>
      <c r="H29" s="35"/>
      <c r="I29" s="95"/>
      <c r="J29" s="96" t="s">
        <v>227</v>
      </c>
      <c r="K29" s="46">
        <f>'Lithium Ion'!C37</f>
        <v>115.38461538461539</v>
      </c>
      <c r="L29" s="24">
        <f t="shared" si="7"/>
        <v>152.74725274725276</v>
      </c>
      <c r="M29" s="24">
        <f>L29*(1+E29)</f>
        <v>202.20826792255366</v>
      </c>
    </row>
    <row r="30" spans="1:13" ht="25.9" customHeight="1" x14ac:dyDescent="0.35">
      <c r="A30" s="33" t="s">
        <v>71</v>
      </c>
      <c r="B30" s="46">
        <v>118</v>
      </c>
      <c r="C30" s="46">
        <v>130</v>
      </c>
      <c r="D30" s="46">
        <v>173</v>
      </c>
      <c r="E30" s="38">
        <f t="shared" si="5"/>
        <v>0.33076923076923076</v>
      </c>
      <c r="F30" s="46">
        <v>260</v>
      </c>
      <c r="G30" s="38">
        <f t="shared" si="9"/>
        <v>0.50289017341040465</v>
      </c>
      <c r="H30" s="35"/>
      <c r="I30" s="95"/>
      <c r="J30" s="96"/>
      <c r="K30" s="46">
        <f>'Lithium Ion'!C38</f>
        <v>137.80266055127177</v>
      </c>
      <c r="L30" s="24">
        <f t="shared" si="7"/>
        <v>183.38354057976935</v>
      </c>
      <c r="M30" s="24">
        <f>L30*(1+E30)</f>
        <v>244.04117323307764</v>
      </c>
    </row>
    <row r="31" spans="1:13" x14ac:dyDescent="0.35">
      <c r="A31" s="49"/>
    </row>
    <row r="32" spans="1:13" x14ac:dyDescent="0.35">
      <c r="A32" s="49"/>
      <c r="B32" s="31"/>
      <c r="C32" s="54"/>
      <c r="D32" s="54"/>
      <c r="E32" s="54"/>
      <c r="F32" s="54"/>
      <c r="G32" s="54"/>
      <c r="H32" s="54"/>
      <c r="I32" s="54"/>
    </row>
    <row r="33" spans="1:10" x14ac:dyDescent="0.35">
      <c r="A33" s="49"/>
      <c r="B33" s="31"/>
      <c r="C33" s="99" t="s">
        <v>228</v>
      </c>
      <c r="D33" s="100"/>
      <c r="E33" s="100"/>
      <c r="F33" s="100"/>
      <c r="G33" s="100"/>
      <c r="H33" s="100"/>
      <c r="I33" s="101"/>
    </row>
    <row r="34" spans="1:10" x14ac:dyDescent="0.35">
      <c r="B34" s="31"/>
      <c r="C34" s="50" t="s">
        <v>103</v>
      </c>
      <c r="D34" s="50" t="s">
        <v>104</v>
      </c>
      <c r="E34" s="50"/>
      <c r="F34" s="50"/>
      <c r="G34" s="50"/>
      <c r="H34" s="50"/>
      <c r="I34" s="50" t="s">
        <v>105</v>
      </c>
    </row>
    <row r="35" spans="1:10" x14ac:dyDescent="0.35">
      <c r="B35" s="31"/>
      <c r="C35" s="50">
        <v>1170</v>
      </c>
      <c r="D35" s="50">
        <v>0.41499999999999998</v>
      </c>
      <c r="E35" s="50" t="s">
        <v>106</v>
      </c>
      <c r="F35" s="50">
        <f>D35*D36*D37</f>
        <v>0.97966178199999998</v>
      </c>
      <c r="G35" s="50" t="s">
        <v>107</v>
      </c>
      <c r="H35" s="50"/>
      <c r="I35" s="50">
        <v>135</v>
      </c>
      <c r="J35" s="9" t="s">
        <v>108</v>
      </c>
    </row>
    <row r="36" spans="1:10" x14ac:dyDescent="0.35">
      <c r="C36" s="50"/>
      <c r="D36" s="50">
        <v>1.0669999999999999</v>
      </c>
      <c r="E36" s="50" t="s">
        <v>109</v>
      </c>
      <c r="F36" s="50"/>
      <c r="G36" s="50"/>
      <c r="H36" s="50"/>
      <c r="I36" s="50"/>
    </row>
    <row r="37" spans="1:10" x14ac:dyDescent="0.35">
      <c r="C37" s="50"/>
      <c r="D37" s="50">
        <v>2.2124000000000001</v>
      </c>
      <c r="E37" s="50" t="s">
        <v>110</v>
      </c>
      <c r="F37" s="50"/>
      <c r="G37" s="50"/>
      <c r="H37" s="50"/>
      <c r="I37" s="50"/>
    </row>
    <row r="38" spans="1:10" x14ac:dyDescent="0.35">
      <c r="C38" s="29" t="s">
        <v>111</v>
      </c>
    </row>
    <row r="61" spans="1:10" s="12" customFormat="1" ht="15" x14ac:dyDescent="0.3">
      <c r="A61" s="19">
        <v>1</v>
      </c>
      <c r="B61" s="12" t="s">
        <v>74</v>
      </c>
      <c r="J61" s="13"/>
    </row>
    <row r="62" spans="1:10" s="12" customFormat="1" ht="15" x14ac:dyDescent="0.3">
      <c r="A62" s="19">
        <v>2</v>
      </c>
      <c r="B62" s="12" t="s">
        <v>75</v>
      </c>
      <c r="J62" s="13"/>
    </row>
    <row r="63" spans="1:10" s="12" customFormat="1" ht="15" x14ac:dyDescent="0.3">
      <c r="A63" s="19">
        <v>3</v>
      </c>
      <c r="B63" s="12" t="s">
        <v>76</v>
      </c>
      <c r="J63" s="13"/>
    </row>
    <row r="64" spans="1:10" s="12" customFormat="1" ht="15" x14ac:dyDescent="0.3">
      <c r="A64" s="19">
        <v>4</v>
      </c>
      <c r="B64" s="12" t="s">
        <v>77</v>
      </c>
      <c r="J64" s="13"/>
    </row>
    <row r="65" spans="1:10" s="12" customFormat="1" ht="15" x14ac:dyDescent="0.3">
      <c r="A65" s="19">
        <v>5</v>
      </c>
      <c r="B65" s="12" t="s">
        <v>78</v>
      </c>
      <c r="J65" s="13"/>
    </row>
    <row r="66" spans="1:10" s="12" customFormat="1" ht="15" x14ac:dyDescent="0.3">
      <c r="A66" s="19">
        <v>6</v>
      </c>
      <c r="B66" s="12" t="s">
        <v>79</v>
      </c>
      <c r="J66" s="13"/>
    </row>
    <row r="67" spans="1:10" s="12" customFormat="1" ht="15" x14ac:dyDescent="0.3">
      <c r="A67" s="19">
        <v>7</v>
      </c>
      <c r="B67" s="12" t="s">
        <v>80</v>
      </c>
      <c r="J67" s="13"/>
    </row>
    <row r="68" spans="1:10" s="12" customFormat="1" ht="15" x14ac:dyDescent="0.3">
      <c r="A68" s="19">
        <v>8</v>
      </c>
      <c r="B68" s="12" t="s">
        <v>81</v>
      </c>
      <c r="J68" s="13"/>
    </row>
    <row r="69" spans="1:10" s="12" customFormat="1" ht="15" x14ac:dyDescent="0.3">
      <c r="A69" s="19">
        <v>9</v>
      </c>
      <c r="B69" s="12" t="s">
        <v>82</v>
      </c>
      <c r="J69" s="13"/>
    </row>
    <row r="70" spans="1:10" s="12" customFormat="1" ht="15" x14ac:dyDescent="0.3">
      <c r="A70" s="19">
        <v>10</v>
      </c>
      <c r="B70" s="12" t="s">
        <v>83</v>
      </c>
      <c r="J70" s="13"/>
    </row>
    <row r="71" spans="1:10" s="12" customFormat="1" ht="15" x14ac:dyDescent="0.3">
      <c r="A71" s="19">
        <v>11</v>
      </c>
      <c r="B71" s="12" t="s">
        <v>84</v>
      </c>
      <c r="J71" s="13"/>
    </row>
    <row r="72" spans="1:10" s="12" customFormat="1" ht="15" x14ac:dyDescent="0.3">
      <c r="A72" s="19">
        <v>12</v>
      </c>
      <c r="B72" s="12" t="s">
        <v>85</v>
      </c>
      <c r="J72" s="13"/>
    </row>
    <row r="73" spans="1:10" s="12" customFormat="1" ht="15" x14ac:dyDescent="0.3">
      <c r="A73" s="19">
        <v>13</v>
      </c>
      <c r="B73" s="12" t="s">
        <v>86</v>
      </c>
      <c r="J73" s="13"/>
    </row>
    <row r="74" spans="1:10" s="12" customFormat="1" ht="15" x14ac:dyDescent="0.3">
      <c r="A74" s="19">
        <v>14</v>
      </c>
      <c r="B74" s="12" t="s">
        <v>87</v>
      </c>
      <c r="J74" s="13"/>
    </row>
    <row r="75" spans="1:10" s="12" customFormat="1" ht="15" x14ac:dyDescent="0.3">
      <c r="A75" s="19">
        <v>15</v>
      </c>
      <c r="B75" s="12" t="s">
        <v>88</v>
      </c>
      <c r="J75" s="13"/>
    </row>
    <row r="76" spans="1:10" s="12" customFormat="1" ht="15" x14ac:dyDescent="0.3">
      <c r="A76" s="19">
        <v>16</v>
      </c>
      <c r="B76" s="12" t="s">
        <v>89</v>
      </c>
      <c r="J76" s="13"/>
    </row>
    <row r="77" spans="1:10" s="12" customFormat="1" ht="15" x14ac:dyDescent="0.3">
      <c r="A77" s="19">
        <v>17</v>
      </c>
      <c r="B77" s="12" t="s">
        <v>90</v>
      </c>
      <c r="J77" s="13"/>
    </row>
    <row r="78" spans="1:10" s="12" customFormat="1" ht="15" x14ac:dyDescent="0.3">
      <c r="A78" s="19">
        <v>18</v>
      </c>
      <c r="B78" s="12" t="s">
        <v>91</v>
      </c>
      <c r="J78" s="13"/>
    </row>
    <row r="79" spans="1:10" s="12" customFormat="1" ht="15" x14ac:dyDescent="0.3">
      <c r="A79" s="19">
        <v>19</v>
      </c>
      <c r="B79" s="12" t="s">
        <v>92</v>
      </c>
      <c r="J79" s="13"/>
    </row>
    <row r="80" spans="1:10" s="12" customFormat="1" ht="15" x14ac:dyDescent="0.3">
      <c r="A80" s="19">
        <v>20</v>
      </c>
      <c r="B80" s="12" t="s">
        <v>93</v>
      </c>
      <c r="J80" s="13"/>
    </row>
    <row r="81" spans="1:10" s="12" customFormat="1" ht="15" x14ac:dyDescent="0.3">
      <c r="A81" s="19">
        <v>21</v>
      </c>
      <c r="B81" s="12" t="s">
        <v>94</v>
      </c>
      <c r="J81" s="13"/>
    </row>
    <row r="82" spans="1:10" s="12" customFormat="1" ht="15" x14ac:dyDescent="0.3">
      <c r="A82" s="19">
        <v>22</v>
      </c>
      <c r="B82" s="12" t="s">
        <v>95</v>
      </c>
      <c r="J82" s="13"/>
    </row>
    <row r="83" spans="1:10" s="12" customFormat="1" ht="15" x14ac:dyDescent="0.3">
      <c r="A83" s="19">
        <v>23</v>
      </c>
      <c r="B83" s="12" t="s">
        <v>96</v>
      </c>
      <c r="J83" s="13"/>
    </row>
    <row r="84" spans="1:10" s="12" customFormat="1" ht="15" x14ac:dyDescent="0.3">
      <c r="A84" s="51">
        <v>24</v>
      </c>
      <c r="B84" s="52" t="s">
        <v>136</v>
      </c>
      <c r="J84" s="13"/>
    </row>
  </sheetData>
  <mergeCells count="14">
    <mergeCell ref="I17:I18"/>
    <mergeCell ref="J6:J7"/>
    <mergeCell ref="J8:J9"/>
    <mergeCell ref="K1:M1"/>
    <mergeCell ref="C33:I33"/>
    <mergeCell ref="I11:I14"/>
    <mergeCell ref="I15:I16"/>
    <mergeCell ref="J15:J16"/>
    <mergeCell ref="J29:J30"/>
    <mergeCell ref="I20:I30"/>
    <mergeCell ref="J11:J12"/>
    <mergeCell ref="J3:J5"/>
    <mergeCell ref="I3:I10"/>
    <mergeCell ref="J1:J2"/>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100-000000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Data!B3:G3</xm:f>
              <xm:sqref>H3</xm:sqref>
            </x14:sparkline>
            <x14:sparkline>
              <xm:f>Data!B4:G4</xm:f>
              <xm:sqref>H4</xm:sqref>
            </x14:sparkline>
            <x14:sparkline>
              <xm:f>Data!B5:G5</xm:f>
              <xm:sqref>H5</xm:sqref>
            </x14:sparkline>
            <x14:sparkline>
              <xm:f>Data!B6:G6</xm:f>
              <xm:sqref>H6</xm:sqref>
            </x14:sparkline>
            <x14:sparkline>
              <xm:f>Data!B7:G7</xm:f>
              <xm:sqref>H7</xm:sqref>
            </x14:sparkline>
            <x14:sparkline>
              <xm:f>Data!B8:G8</xm:f>
              <xm:sqref>H8</xm:sqref>
            </x14:sparkline>
            <x14:sparkline>
              <xm:f>Data!B9:G9</xm:f>
              <xm:sqref>H9</xm:sqref>
            </x14:sparkline>
            <x14:sparkline>
              <xm:f>Data!B10:G10</xm:f>
              <xm:sqref>H10</xm:sqref>
            </x14:sparkline>
            <x14:sparkline>
              <xm:f>Data!B11:G11</xm:f>
              <xm:sqref>H11</xm:sqref>
            </x14:sparkline>
            <x14:sparkline>
              <xm:f>Data!B12:G12</xm:f>
              <xm:sqref>H12</xm:sqref>
            </x14:sparkline>
            <x14:sparkline>
              <xm:f>Data!B13:G13</xm:f>
              <xm:sqref>H13</xm:sqref>
            </x14:sparkline>
            <x14:sparkline>
              <xm:f>Data!B14:G14</xm:f>
              <xm:sqref>H14</xm:sqref>
            </x14:sparkline>
            <x14:sparkline>
              <xm:f>Data!B15:G15</xm:f>
              <xm:sqref>H15</xm:sqref>
            </x14:sparkline>
            <x14:sparkline>
              <xm:f>Data!B16:G16</xm:f>
              <xm:sqref>H16</xm:sqref>
            </x14:sparkline>
            <x14:sparkline>
              <xm:f>Data!B17:G17</xm:f>
              <xm:sqref>H17</xm:sqref>
            </x14:sparkline>
            <x14:sparkline>
              <xm:f>Data!B18:G18</xm:f>
              <xm:sqref>H18</xm:sqref>
            </x14:sparkline>
            <x14:sparkline>
              <xm:f>Data!B19:G19</xm:f>
              <xm:sqref>H19</xm:sqref>
            </x14:sparkline>
            <x14:sparkline>
              <xm:f>Data!B20:G20</xm:f>
              <xm:sqref>H20</xm:sqref>
            </x14:sparkline>
            <x14:sparkline>
              <xm:f>Data!B21:G21</xm:f>
              <xm:sqref>H21</xm:sqref>
            </x14:sparkline>
            <x14:sparkline>
              <xm:f>Data!B22:G22</xm:f>
              <xm:sqref>H22</xm:sqref>
            </x14:sparkline>
            <x14:sparkline>
              <xm:f>Data!B23:G23</xm:f>
              <xm:sqref>H23</xm:sqref>
            </x14:sparkline>
            <x14:sparkline>
              <xm:f>Data!B24:G24</xm:f>
              <xm:sqref>H24</xm:sqref>
            </x14:sparkline>
            <x14:sparkline>
              <xm:f>Data!B25:G25</xm:f>
              <xm:sqref>H25</xm:sqref>
            </x14:sparkline>
            <x14:sparkline>
              <xm:f>Data!B26:G26</xm:f>
              <xm:sqref>H26</xm:sqref>
            </x14:sparkline>
            <x14:sparkline>
              <xm:f>Data!B27:G27</xm:f>
              <xm:sqref>H27</xm:sqref>
            </x14:sparkline>
            <x14:sparkline>
              <xm:f>Data!B28:G28</xm:f>
              <xm:sqref>H28</xm:sqref>
            </x14:sparkline>
            <x14:sparkline>
              <xm:f>Data!B29:G29</xm:f>
              <xm:sqref>H29</xm:sqref>
            </x14:sparkline>
            <x14:sparkline>
              <xm:f>Data!B30:G30</xm:f>
              <xm:sqref>H30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4"/>
  <sheetViews>
    <sheetView workbookViewId="0">
      <pane xSplit="1" ySplit="2" topLeftCell="B3" activePane="bottomRight" state="frozen"/>
      <selection pane="topRight" activeCell="B1" sqref="B1"/>
      <selection pane="bottomLeft" activeCell="A3" sqref="A3"/>
      <selection pane="bottomRight" activeCell="A38" sqref="A38"/>
    </sheetView>
  </sheetViews>
  <sheetFormatPr baseColWidth="10" defaultColWidth="10.28515625" defaultRowHeight="18" x14ac:dyDescent="0.35"/>
  <cols>
    <col min="1" max="1" width="66.7109375" style="8" customWidth="1"/>
    <col min="2" max="9" width="9.85546875" style="8" customWidth="1"/>
    <col min="10" max="10" width="13.42578125" style="8" customWidth="1"/>
    <col min="11" max="16" width="9.85546875" style="8" customWidth="1"/>
    <col min="17" max="17" width="10.28515625" style="8"/>
    <col min="18" max="18" width="10.28515625" style="8" customWidth="1"/>
    <col min="19" max="20" width="12.7109375" style="8" customWidth="1"/>
    <col min="21" max="21" width="10.28515625" style="8" customWidth="1"/>
    <col min="22" max="23" width="12.7109375" style="8" customWidth="1"/>
    <col min="24" max="24" width="10.28515625" style="8" customWidth="1"/>
    <col min="25" max="26" width="12.7109375" style="8" customWidth="1"/>
    <col min="27" max="27" width="23.7109375" style="8" customWidth="1"/>
    <col min="28" max="16384" width="10.28515625" style="8"/>
  </cols>
  <sheetData>
    <row r="1" spans="1:27" ht="30.75" customHeight="1" x14ac:dyDescent="0.35">
      <c r="A1" s="50"/>
      <c r="B1" s="50"/>
      <c r="C1" s="50"/>
      <c r="D1" s="50"/>
      <c r="E1" s="50"/>
      <c r="F1" s="106" t="s">
        <v>0</v>
      </c>
      <c r="G1" s="106"/>
      <c r="H1" s="106" t="s">
        <v>1</v>
      </c>
      <c r="I1" s="106"/>
      <c r="J1" s="55"/>
      <c r="K1" s="106" t="s">
        <v>2</v>
      </c>
      <c r="L1" s="106"/>
      <c r="M1" s="106" t="s">
        <v>3</v>
      </c>
      <c r="N1" s="106"/>
      <c r="O1" s="106" t="s">
        <v>4</v>
      </c>
      <c r="P1" s="106"/>
      <c r="Q1" s="22"/>
      <c r="R1" s="56" t="s">
        <v>5</v>
      </c>
      <c r="S1" s="56" t="s">
        <v>6</v>
      </c>
      <c r="T1" s="56" t="s">
        <v>7</v>
      </c>
      <c r="U1" s="57" t="s">
        <v>5</v>
      </c>
      <c r="V1" s="57" t="s">
        <v>6</v>
      </c>
      <c r="W1" s="57" t="s">
        <v>7</v>
      </c>
      <c r="X1" s="57" t="s">
        <v>5</v>
      </c>
      <c r="Y1" s="57" t="s">
        <v>6</v>
      </c>
      <c r="Z1" s="57" t="s">
        <v>7</v>
      </c>
      <c r="AA1" s="56" t="s">
        <v>114</v>
      </c>
    </row>
    <row r="2" spans="1:27" ht="18" customHeight="1" x14ac:dyDescent="0.35">
      <c r="A2" s="20" t="s">
        <v>8</v>
      </c>
      <c r="B2" s="58" t="s">
        <v>115</v>
      </c>
      <c r="C2" s="58">
        <v>2020</v>
      </c>
      <c r="D2" s="58">
        <v>2030</v>
      </c>
      <c r="E2" s="58">
        <v>2050</v>
      </c>
      <c r="F2" s="59" t="s">
        <v>9</v>
      </c>
      <c r="G2" s="50" t="s">
        <v>10</v>
      </c>
      <c r="H2" s="50" t="s">
        <v>9</v>
      </c>
      <c r="I2" s="50" t="s">
        <v>10</v>
      </c>
      <c r="J2" s="59" t="s">
        <v>11</v>
      </c>
      <c r="K2" s="50" t="s">
        <v>9</v>
      </c>
      <c r="L2" s="50" t="s">
        <v>10</v>
      </c>
      <c r="M2" s="50" t="s">
        <v>9</v>
      </c>
      <c r="N2" s="50" t="s">
        <v>10</v>
      </c>
      <c r="O2" s="50" t="s">
        <v>9</v>
      </c>
      <c r="P2" s="50" t="s">
        <v>10</v>
      </c>
      <c r="Q2" s="22"/>
      <c r="R2" s="57">
        <v>2020</v>
      </c>
      <c r="S2" s="60">
        <f>K3</f>
        <v>-0.16666666666666666</v>
      </c>
      <c r="T2" s="61">
        <f>L3</f>
        <v>0.5</v>
      </c>
      <c r="U2" s="57">
        <v>2020</v>
      </c>
      <c r="V2" s="60">
        <f>K4</f>
        <v>-0.1111111111111111</v>
      </c>
      <c r="W2" s="60">
        <f>L4</f>
        <v>0.16666666666666666</v>
      </c>
      <c r="X2" s="57">
        <v>2020</v>
      </c>
      <c r="Y2" s="60">
        <f>K5</f>
        <v>-1.098901098901099E-2</v>
      </c>
      <c r="Z2" s="60">
        <f>L5</f>
        <v>1.098901098901099E-2</v>
      </c>
      <c r="AA2" s="103" t="s">
        <v>205</v>
      </c>
    </row>
    <row r="3" spans="1:27" ht="20.100000000000001" customHeight="1" x14ac:dyDescent="0.35">
      <c r="A3" s="20" t="s">
        <v>167</v>
      </c>
      <c r="B3" s="26" t="s">
        <v>116</v>
      </c>
      <c r="C3" s="62">
        <v>6</v>
      </c>
      <c r="D3" s="62">
        <v>7</v>
      </c>
      <c r="E3" s="62">
        <v>8</v>
      </c>
      <c r="F3" s="62">
        <v>5</v>
      </c>
      <c r="G3" s="62">
        <v>9</v>
      </c>
      <c r="H3" s="62">
        <v>7</v>
      </c>
      <c r="I3" s="62">
        <v>12</v>
      </c>
      <c r="J3" s="111" t="s">
        <v>53</v>
      </c>
      <c r="K3" s="21">
        <f>(F3-$C$3)/$C$3</f>
        <v>-0.16666666666666666</v>
      </c>
      <c r="L3" s="21">
        <f>(G3-$C$3)/$C$3</f>
        <v>0.5</v>
      </c>
      <c r="M3" s="21">
        <f>(0.001389*D2)-2.972222</f>
        <v>-0.15255200000000002</v>
      </c>
      <c r="N3" s="63">
        <f>L3</f>
        <v>0.5</v>
      </c>
      <c r="O3" s="21">
        <f>(H3-$E$3)/$E$3</f>
        <v>-0.125</v>
      </c>
      <c r="P3" s="21">
        <f>(I3-$E$3)/$E$3</f>
        <v>0.5</v>
      </c>
      <c r="Q3" s="23"/>
      <c r="R3" s="57">
        <v>2050</v>
      </c>
      <c r="S3" s="60">
        <f>O3</f>
        <v>-0.125</v>
      </c>
      <c r="T3" s="61">
        <f>P3</f>
        <v>0.5</v>
      </c>
      <c r="U3" s="57">
        <v>2050</v>
      </c>
      <c r="V3" s="60">
        <f>O4</f>
        <v>-8.3333333333333329E-2</v>
      </c>
      <c r="W3" s="60">
        <f>P4</f>
        <v>0.16666666666666666</v>
      </c>
      <c r="X3" s="57">
        <v>2050</v>
      </c>
      <c r="Y3" s="60">
        <f>O5</f>
        <v>-1.0869565217391304E-2</v>
      </c>
      <c r="Z3" s="60">
        <f>P5</f>
        <v>2.1739130434782608E-2</v>
      </c>
      <c r="AA3" s="104"/>
    </row>
    <row r="4" spans="1:27" ht="20.100000000000001" customHeight="1" x14ac:dyDescent="0.35">
      <c r="A4" s="20" t="s">
        <v>168</v>
      </c>
      <c r="B4" s="26" t="s">
        <v>117</v>
      </c>
      <c r="C4" s="62">
        <v>18</v>
      </c>
      <c r="D4" s="62">
        <v>21</v>
      </c>
      <c r="E4" s="62">
        <v>24</v>
      </c>
      <c r="F4" s="62">
        <v>16</v>
      </c>
      <c r="G4" s="62">
        <v>21</v>
      </c>
      <c r="H4" s="62">
        <v>22</v>
      </c>
      <c r="I4" s="62">
        <v>28</v>
      </c>
      <c r="J4" s="111"/>
      <c r="K4" s="21">
        <f>(F4-$C$4)/$C$4</f>
        <v>-0.1111111111111111</v>
      </c>
      <c r="L4" s="21">
        <f>(G4-$C$4)/$C$4</f>
        <v>0.16666666666666666</v>
      </c>
      <c r="M4" s="63">
        <f>(0.000926*D2)-1.981481</f>
        <v>-0.10170100000000004</v>
      </c>
      <c r="N4" s="63">
        <f>L4</f>
        <v>0.16666666666666666</v>
      </c>
      <c r="O4" s="21">
        <f>(H4-$E$4)/$E$4</f>
        <v>-8.3333333333333329E-2</v>
      </c>
      <c r="P4" s="21">
        <f>(I4-$E$4)/$E$4</f>
        <v>0.16666666666666666</v>
      </c>
      <c r="Q4" s="23"/>
      <c r="R4" s="57" t="s">
        <v>5</v>
      </c>
      <c r="S4" s="57" t="s">
        <v>6</v>
      </c>
      <c r="T4" s="57" t="s">
        <v>7</v>
      </c>
      <c r="U4" s="57" t="s">
        <v>5</v>
      </c>
      <c r="V4" s="57" t="s">
        <v>6</v>
      </c>
      <c r="W4" s="57" t="s">
        <v>7</v>
      </c>
      <c r="X4" s="57" t="s">
        <v>5</v>
      </c>
      <c r="Y4" s="57" t="s">
        <v>6</v>
      </c>
      <c r="Z4" s="57" t="s">
        <v>7</v>
      </c>
      <c r="AA4" s="104"/>
    </row>
    <row r="5" spans="1:27" ht="20.100000000000001" customHeight="1" x14ac:dyDescent="0.35">
      <c r="A5" s="20" t="s">
        <v>192</v>
      </c>
      <c r="B5" s="26" t="s">
        <v>118</v>
      </c>
      <c r="C5" s="62">
        <v>91</v>
      </c>
      <c r="D5" s="62">
        <v>92</v>
      </c>
      <c r="E5" s="62">
        <v>92</v>
      </c>
      <c r="F5" s="62">
        <v>90</v>
      </c>
      <c r="G5" s="62">
        <v>92</v>
      </c>
      <c r="H5" s="62">
        <v>91</v>
      </c>
      <c r="I5" s="62">
        <v>94</v>
      </c>
      <c r="J5" s="111"/>
      <c r="K5" s="21">
        <f>(F5-$C$5)/$C$5</f>
        <v>-1.098901098901099E-2</v>
      </c>
      <c r="L5" s="21">
        <f>(G5-$C$5)/$C$5</f>
        <v>1.098901098901099E-2</v>
      </c>
      <c r="M5" s="63">
        <f>K5</f>
        <v>-1.098901098901099E-2</v>
      </c>
      <c r="N5" s="63">
        <f>(0.000358*D2)-0.712852</f>
        <v>1.38879999999999E-2</v>
      </c>
      <c r="O5" s="21">
        <f>(H5-$E$5)/$E$5</f>
        <v>-1.0869565217391304E-2</v>
      </c>
      <c r="P5" s="21">
        <f>(I5-$E$5)/$E$5</f>
        <v>2.1739130434782608E-2</v>
      </c>
      <c r="Q5" s="23"/>
      <c r="R5" s="57">
        <v>2020</v>
      </c>
      <c r="S5" s="60">
        <f>K6</f>
        <v>0</v>
      </c>
      <c r="T5" s="60">
        <f>L6</f>
        <v>5.1020408163265302E-3</v>
      </c>
      <c r="U5" s="57">
        <v>2020</v>
      </c>
      <c r="V5" s="60">
        <f>K7</f>
        <v>-0.5</v>
      </c>
      <c r="W5" s="60">
        <f>L7</f>
        <v>1</v>
      </c>
      <c r="X5" s="57">
        <v>2020</v>
      </c>
      <c r="Y5" s="60">
        <f>K8</f>
        <v>-0.47368421052631576</v>
      </c>
      <c r="Z5" s="60">
        <f>L8</f>
        <v>0.31578947368421051</v>
      </c>
      <c r="AA5" s="104"/>
    </row>
    <row r="6" spans="1:27" ht="20.100000000000001" customHeight="1" x14ac:dyDescent="0.35">
      <c r="A6" s="20" t="s">
        <v>172</v>
      </c>
      <c r="B6" s="26" t="s">
        <v>119</v>
      </c>
      <c r="C6" s="62">
        <v>98</v>
      </c>
      <c r="D6" s="62">
        <v>98.5</v>
      </c>
      <c r="E6" s="62">
        <v>98.5</v>
      </c>
      <c r="F6" s="62">
        <v>98</v>
      </c>
      <c r="G6" s="62">
        <v>98.5</v>
      </c>
      <c r="H6" s="62">
        <v>98</v>
      </c>
      <c r="I6" s="62">
        <v>99</v>
      </c>
      <c r="J6" s="111"/>
      <c r="K6" s="21">
        <f>(F6-$C$6)/$C$6</f>
        <v>0</v>
      </c>
      <c r="L6" s="21">
        <f>(G6-$C$6)/$C$6</f>
        <v>5.1020408163265302E-3</v>
      </c>
      <c r="M6" s="63">
        <f>(-0.000169*D2)+0.341794</f>
        <v>-1.2759999999999994E-3</v>
      </c>
      <c r="N6" s="63">
        <f>L6</f>
        <v>5.1020408163265302E-3</v>
      </c>
      <c r="O6" s="21">
        <f>(H6-$E$6)/$E$6</f>
        <v>-5.076142131979695E-3</v>
      </c>
      <c r="P6" s="21">
        <f>(I6-$E$6)/$E$6</f>
        <v>5.076142131979695E-3</v>
      </c>
      <c r="Q6" s="23"/>
      <c r="R6" s="57">
        <v>2050</v>
      </c>
      <c r="S6" s="60">
        <f>O6</f>
        <v>-5.076142131979695E-3</v>
      </c>
      <c r="T6" s="60">
        <f>P6</f>
        <v>5.076142131979695E-3</v>
      </c>
      <c r="U6" s="57">
        <v>2050</v>
      </c>
      <c r="V6" s="60">
        <f>O7</f>
        <v>-0.5</v>
      </c>
      <c r="W6" s="60">
        <f>P7</f>
        <v>0.49999999999999989</v>
      </c>
      <c r="X6" s="57">
        <v>2050</v>
      </c>
      <c r="Y6" s="60">
        <f>O8</f>
        <v>-0.6</v>
      </c>
      <c r="Z6" s="60">
        <f>P8</f>
        <v>0.19999999999999996</v>
      </c>
      <c r="AA6" s="104"/>
    </row>
    <row r="7" spans="1:27" ht="20.100000000000001" customHeight="1" x14ac:dyDescent="0.35">
      <c r="A7" s="20" t="s">
        <v>174</v>
      </c>
      <c r="B7" s="26" t="s">
        <v>120</v>
      </c>
      <c r="C7" s="62">
        <v>0.1</v>
      </c>
      <c r="D7" s="62">
        <v>0.1</v>
      </c>
      <c r="E7" s="62">
        <v>0.1</v>
      </c>
      <c r="F7" s="62">
        <v>0.05</v>
      </c>
      <c r="G7" s="62">
        <v>0.2</v>
      </c>
      <c r="H7" s="62">
        <v>0.05</v>
      </c>
      <c r="I7" s="62">
        <v>0.15</v>
      </c>
      <c r="J7" s="111"/>
      <c r="K7" s="21">
        <f>(F7-$C$7)/$C$7</f>
        <v>-0.5</v>
      </c>
      <c r="L7" s="21">
        <f>(G7-$C$7)/$C$7</f>
        <v>1</v>
      </c>
      <c r="M7" s="63">
        <f>K7</f>
        <v>-0.5</v>
      </c>
      <c r="N7" s="63">
        <f>(-0.016667*D2)+34.666667</f>
        <v>0.83265699999999754</v>
      </c>
      <c r="O7" s="21">
        <f>(H7-$E$7)/$E$7</f>
        <v>-0.5</v>
      </c>
      <c r="P7" s="21">
        <f>(I7-$E$7)/$E$7</f>
        <v>0.49999999999999989</v>
      </c>
      <c r="Q7" s="23"/>
      <c r="R7" s="57" t="s">
        <v>5</v>
      </c>
      <c r="S7" s="57" t="s">
        <v>6</v>
      </c>
      <c r="T7" s="57" t="s">
        <v>7</v>
      </c>
      <c r="U7" s="57" t="s">
        <v>5</v>
      </c>
      <c r="V7" s="57" t="s">
        <v>6</v>
      </c>
      <c r="W7" s="57" t="s">
        <v>7</v>
      </c>
      <c r="X7" s="57" t="s">
        <v>5</v>
      </c>
      <c r="Y7" s="57" t="s">
        <v>6</v>
      </c>
      <c r="Z7" s="57" t="s">
        <v>7</v>
      </c>
      <c r="AA7" s="104"/>
    </row>
    <row r="8" spans="1:27" ht="20.100000000000001" customHeight="1" x14ac:dyDescent="0.35">
      <c r="A8" s="20" t="s">
        <v>175</v>
      </c>
      <c r="B8" s="26" t="s">
        <v>121</v>
      </c>
      <c r="C8" s="62">
        <v>0.38</v>
      </c>
      <c r="D8" s="62">
        <v>0.35</v>
      </c>
      <c r="E8" s="62">
        <v>0.25</v>
      </c>
      <c r="F8" s="62">
        <v>0.2</v>
      </c>
      <c r="G8" s="62">
        <v>0.5</v>
      </c>
      <c r="H8" s="62">
        <v>0.1</v>
      </c>
      <c r="I8" s="62">
        <v>0.3</v>
      </c>
      <c r="J8" s="111"/>
      <c r="K8" s="21">
        <f>(F8-$C$8)/$C$8</f>
        <v>-0.47368421052631576</v>
      </c>
      <c r="L8" s="21">
        <f>(G8-$C$8)/$C$8</f>
        <v>0.31578947368421051</v>
      </c>
      <c r="M8" s="63">
        <f>(-0.004211*D2)+8.031579</f>
        <v>-0.51675099999999929</v>
      </c>
      <c r="N8" s="63">
        <f>(-0.00386*D2)+8.112281</f>
        <v>0.27648099999999953</v>
      </c>
      <c r="O8" s="21">
        <f>(H8-$E$8)/$E$8</f>
        <v>-0.6</v>
      </c>
      <c r="P8" s="21">
        <f>(I8-$E$8)/$E$8</f>
        <v>0.19999999999999996</v>
      </c>
      <c r="Q8" s="23"/>
      <c r="R8" s="57">
        <v>2020</v>
      </c>
      <c r="S8" s="60">
        <f>K9</f>
        <v>-0.5</v>
      </c>
      <c r="T8" s="60">
        <f>L9</f>
        <v>0.24999999999999994</v>
      </c>
      <c r="U8" s="57">
        <v>2020</v>
      </c>
      <c r="V8" s="60">
        <f>K10</f>
        <v>-0.25</v>
      </c>
      <c r="W8" s="60">
        <f>L10</f>
        <v>0.25</v>
      </c>
      <c r="X8" s="57">
        <v>2020</v>
      </c>
      <c r="Y8" s="60">
        <f>K11</f>
        <v>0</v>
      </c>
      <c r="Z8" s="60">
        <f>L11</f>
        <v>0.24999999999999994</v>
      </c>
      <c r="AA8" s="104"/>
    </row>
    <row r="9" spans="1:27" ht="20.100000000000001" customHeight="1" x14ac:dyDescent="0.35">
      <c r="A9" s="20" t="s">
        <v>176</v>
      </c>
      <c r="B9" s="26" t="s">
        <v>122</v>
      </c>
      <c r="C9" s="62">
        <v>0.2</v>
      </c>
      <c r="D9" s="62">
        <v>0.1</v>
      </c>
      <c r="E9" s="62">
        <v>0.1</v>
      </c>
      <c r="F9" s="62">
        <v>0.1</v>
      </c>
      <c r="G9" s="62">
        <v>0.25</v>
      </c>
      <c r="H9" s="62">
        <v>0.05</v>
      </c>
      <c r="I9" s="62">
        <v>0.2</v>
      </c>
      <c r="J9" s="111"/>
      <c r="K9" s="21">
        <f>(F9-$C$9)/$C$9</f>
        <v>-0.5</v>
      </c>
      <c r="L9" s="21">
        <f>(G9-$C$9)/$C$9</f>
        <v>0.24999999999999994</v>
      </c>
      <c r="M9" s="63">
        <f>K9</f>
        <v>-0.5</v>
      </c>
      <c r="N9" s="63">
        <f>(0.025*D2)-50.25</f>
        <v>0.5</v>
      </c>
      <c r="O9" s="21">
        <f>(H9-$E$9)/$E$9</f>
        <v>-0.5</v>
      </c>
      <c r="P9" s="21">
        <f>(I9-$E$9)/$E$9</f>
        <v>1</v>
      </c>
      <c r="Q9" s="23"/>
      <c r="R9" s="57">
        <v>2050</v>
      </c>
      <c r="S9" s="60">
        <f>O9</f>
        <v>-0.5</v>
      </c>
      <c r="T9" s="60">
        <f>P9</f>
        <v>1</v>
      </c>
      <c r="U9" s="57">
        <v>2050</v>
      </c>
      <c r="V9" s="60">
        <f>O10</f>
        <v>-0.33333333333333331</v>
      </c>
      <c r="W9" s="60">
        <f>P10</f>
        <v>0.5</v>
      </c>
      <c r="X9" s="57">
        <v>2050</v>
      </c>
      <c r="Y9" s="60">
        <f>O11</f>
        <v>-0.5</v>
      </c>
      <c r="Z9" s="60">
        <f>P11</f>
        <v>0.24999999999999994</v>
      </c>
      <c r="AA9" s="104"/>
    </row>
    <row r="10" spans="1:27" ht="20.100000000000001" customHeight="1" x14ac:dyDescent="0.35">
      <c r="A10" s="20" t="s">
        <v>177</v>
      </c>
      <c r="B10" s="26" t="s">
        <v>123</v>
      </c>
      <c r="C10" s="62">
        <v>20</v>
      </c>
      <c r="D10" s="62">
        <v>25</v>
      </c>
      <c r="E10" s="62">
        <v>30</v>
      </c>
      <c r="F10" s="62">
        <v>15</v>
      </c>
      <c r="G10" s="62">
        <v>25</v>
      </c>
      <c r="H10" s="62">
        <v>20</v>
      </c>
      <c r="I10" s="62">
        <v>45</v>
      </c>
      <c r="J10" s="111"/>
      <c r="K10" s="21">
        <f>(F10-$C$10)/$C$10</f>
        <v>-0.25</v>
      </c>
      <c r="L10" s="21">
        <f>(G10-$C$10)/$C$10</f>
        <v>0.25</v>
      </c>
      <c r="M10" s="63">
        <f>(-0.002778*D2)+5.361111</f>
        <v>-0.27822899999999962</v>
      </c>
      <c r="N10" s="63">
        <f>(0.008333*D2)-16.583333</f>
        <v>0.33265700000000109</v>
      </c>
      <c r="O10" s="21">
        <f>(H10-$E$10)/$E$10</f>
        <v>-0.33333333333333331</v>
      </c>
      <c r="P10" s="21">
        <f>(I10-$E$10)/$E$10</f>
        <v>0.5</v>
      </c>
      <c r="Q10" s="23"/>
      <c r="R10" s="57" t="s">
        <v>5</v>
      </c>
      <c r="S10" s="57" t="s">
        <v>6</v>
      </c>
      <c r="T10" s="57" t="s">
        <v>7</v>
      </c>
      <c r="U10" s="57" t="s">
        <v>5</v>
      </c>
      <c r="V10" s="57" t="s">
        <v>6</v>
      </c>
      <c r="W10" s="57" t="s">
        <v>7</v>
      </c>
      <c r="X10" s="57" t="s">
        <v>5</v>
      </c>
      <c r="Y10" s="57" t="s">
        <v>6</v>
      </c>
      <c r="Z10" s="57" t="s">
        <v>7</v>
      </c>
      <c r="AA10" s="104"/>
    </row>
    <row r="11" spans="1:27" ht="20.100000000000001" customHeight="1" x14ac:dyDescent="0.35">
      <c r="A11" s="20" t="s">
        <v>178</v>
      </c>
      <c r="B11" s="26" t="s">
        <v>124</v>
      </c>
      <c r="C11" s="62">
        <v>0.2</v>
      </c>
      <c r="D11" s="62">
        <v>0.2</v>
      </c>
      <c r="E11" s="62">
        <v>0.2</v>
      </c>
      <c r="F11" s="62">
        <v>0.2</v>
      </c>
      <c r="G11" s="62">
        <v>0.25</v>
      </c>
      <c r="H11" s="62">
        <v>0.1</v>
      </c>
      <c r="I11" s="62">
        <v>0.25</v>
      </c>
      <c r="J11" s="111"/>
      <c r="K11" s="21">
        <f>(F11-$C$11)/$C$11</f>
        <v>0</v>
      </c>
      <c r="L11" s="21">
        <f>(G11-$C$11)/$C$11</f>
        <v>0.24999999999999994</v>
      </c>
      <c r="M11" s="63">
        <f>(-0.016667*D2)+33.666667</f>
        <v>-0.16734300000000246</v>
      </c>
      <c r="N11" s="63">
        <f>L11</f>
        <v>0.24999999999999994</v>
      </c>
      <c r="O11" s="21">
        <f>(H11-$E$11)/$E$11</f>
        <v>-0.5</v>
      </c>
      <c r="P11" s="21">
        <f>(I11-$E$11)/$E$11</f>
        <v>0.24999999999999994</v>
      </c>
      <c r="Q11" s="23"/>
      <c r="R11" s="57">
        <v>2020</v>
      </c>
      <c r="S11" s="60">
        <f>K12</f>
        <v>-0.46969696969696967</v>
      </c>
      <c r="T11" s="60">
        <f>L12</f>
        <v>0.43181818181818177</v>
      </c>
      <c r="U11" s="57">
        <v>2020</v>
      </c>
      <c r="V11" s="60">
        <f>K13</f>
        <v>-0.1111111111111112</v>
      </c>
      <c r="W11" s="60">
        <f>L13</f>
        <v>0.88888888888888884</v>
      </c>
      <c r="X11" s="57">
        <v>2020</v>
      </c>
      <c r="Y11" s="60">
        <f>K14</f>
        <v>-0.10000000000000009</v>
      </c>
      <c r="Z11" s="60">
        <f>L14</f>
        <v>9.999999999999995E-2</v>
      </c>
      <c r="AA11" s="104"/>
    </row>
    <row r="12" spans="1:27" ht="20.100000000000001" customHeight="1" x14ac:dyDescent="0.35">
      <c r="A12" s="20" t="s">
        <v>193</v>
      </c>
      <c r="B12" s="26" t="s">
        <v>125</v>
      </c>
      <c r="C12" s="62">
        <v>0.13200000000000001</v>
      </c>
      <c r="D12" s="62">
        <v>6.2E-2</v>
      </c>
      <c r="E12" s="62">
        <v>3.5000000000000003E-2</v>
      </c>
      <c r="F12" s="62">
        <v>7.0000000000000007E-2</v>
      </c>
      <c r="G12" s="62">
        <v>0.189</v>
      </c>
      <c r="H12" s="62">
        <v>2.5999999999999999E-2</v>
      </c>
      <c r="I12" s="62">
        <v>0.115</v>
      </c>
      <c r="J12" s="111"/>
      <c r="K12" s="21">
        <f>(F12-$C$12)/$C$12</f>
        <v>-0.46969696969696967</v>
      </c>
      <c r="L12" s="21">
        <f>(G12-$C$12)/$C$12</f>
        <v>0.43181818181818177</v>
      </c>
      <c r="M12" s="63">
        <f>(0.007085*D2)-14.781674</f>
        <v>-0.39912400000000048</v>
      </c>
      <c r="N12" s="63">
        <f>(0.061797*D2)-124.397186</f>
        <v>1.0507239999999882</v>
      </c>
      <c r="O12" s="21">
        <f>(H12-$E$12)/$E$12</f>
        <v>-0.25714285714285723</v>
      </c>
      <c r="P12" s="21">
        <f>(I12-$E$12)/$E$12</f>
        <v>2.2857142857142856</v>
      </c>
      <c r="Q12" s="23"/>
      <c r="R12" s="57">
        <v>2050</v>
      </c>
      <c r="S12" s="60">
        <f>O12</f>
        <v>-0.25714285714285723</v>
      </c>
      <c r="T12" s="60">
        <f>P12</f>
        <v>2.2857142857142856</v>
      </c>
      <c r="U12" s="57">
        <v>2050</v>
      </c>
      <c r="V12" s="60">
        <f>O13</f>
        <v>-0.33333333333333331</v>
      </c>
      <c r="W12" s="60">
        <f>P13</f>
        <v>3.166666666666667</v>
      </c>
      <c r="X12" s="57">
        <v>2050</v>
      </c>
      <c r="Y12" s="60">
        <f>O14</f>
        <v>-0.5</v>
      </c>
      <c r="Z12" s="60">
        <f>P14</f>
        <v>1.7500000000000002</v>
      </c>
      <c r="AA12" s="104"/>
    </row>
    <row r="13" spans="1:27" ht="20.100000000000001" customHeight="1" x14ac:dyDescent="0.35">
      <c r="A13" s="20" t="s">
        <v>194</v>
      </c>
      <c r="B13" s="26" t="s">
        <v>126</v>
      </c>
      <c r="C13" s="62">
        <v>0.27</v>
      </c>
      <c r="D13" s="62">
        <v>0.16</v>
      </c>
      <c r="E13" s="62">
        <v>0.06</v>
      </c>
      <c r="F13" s="62">
        <v>0.24</v>
      </c>
      <c r="G13" s="62">
        <v>0.51</v>
      </c>
      <c r="H13" s="62">
        <v>0.04</v>
      </c>
      <c r="I13" s="62">
        <v>0.25</v>
      </c>
      <c r="J13" s="111"/>
      <c r="K13" s="21">
        <f>(F13-$C$13)/$C$13</f>
        <v>-0.1111111111111112</v>
      </c>
      <c r="L13" s="21">
        <f>(G13-$C$13)/$C$13</f>
        <v>0.88888888888888884</v>
      </c>
      <c r="M13" s="63">
        <f>(-0.007407*D2)+14.851852</f>
        <v>-0.18435800000000135</v>
      </c>
      <c r="N13" s="63">
        <f>(0.075926*D2)-152.481481</f>
        <v>1.6482989999999802</v>
      </c>
      <c r="O13" s="21">
        <f>(H13-$E$13)/$E$13</f>
        <v>-0.33333333333333331</v>
      </c>
      <c r="P13" s="21">
        <f>(I13-$E$13)/$E$13</f>
        <v>3.166666666666667</v>
      </c>
      <c r="Q13" s="23"/>
      <c r="R13" s="57" t="s">
        <v>5</v>
      </c>
      <c r="S13" s="57" t="s">
        <v>6</v>
      </c>
      <c r="T13" s="57" t="s">
        <v>7</v>
      </c>
      <c r="U13" s="57" t="s">
        <v>5</v>
      </c>
      <c r="V13" s="57" t="s">
        <v>6</v>
      </c>
      <c r="W13" s="57" t="s">
        <v>7</v>
      </c>
      <c r="X13" s="57" t="s">
        <v>5</v>
      </c>
      <c r="Y13" s="57" t="s">
        <v>6</v>
      </c>
      <c r="Z13" s="57" t="s">
        <v>7</v>
      </c>
      <c r="AA13" s="104"/>
    </row>
    <row r="14" spans="1:27" ht="20.100000000000001" customHeight="1" x14ac:dyDescent="0.35">
      <c r="A14" s="20" t="s">
        <v>195</v>
      </c>
      <c r="B14" s="26" t="s">
        <v>127</v>
      </c>
      <c r="C14" s="62">
        <v>0.1</v>
      </c>
      <c r="D14" s="62">
        <v>0.08</v>
      </c>
      <c r="E14" s="62">
        <v>0.04</v>
      </c>
      <c r="F14" s="62">
        <v>0.09</v>
      </c>
      <c r="G14" s="62">
        <v>0.11</v>
      </c>
      <c r="H14" s="62">
        <v>0.02</v>
      </c>
      <c r="I14" s="62">
        <v>0.11</v>
      </c>
      <c r="J14" s="111"/>
      <c r="K14" s="21">
        <f>(F14-$C$14)/$C$14</f>
        <v>-0.10000000000000009</v>
      </c>
      <c r="L14" s="21">
        <f>(G14-$C$14)/$C$14</f>
        <v>9.999999999999995E-2</v>
      </c>
      <c r="M14" s="63">
        <f>(-0.013333*D2)+26.833333</f>
        <v>-0.23265699999999967</v>
      </c>
      <c r="N14" s="63">
        <f>(0.055*D2)-111</f>
        <v>0.65000000000000568</v>
      </c>
      <c r="O14" s="21">
        <f>(H14-$E$14)/$E$14</f>
        <v>-0.5</v>
      </c>
      <c r="P14" s="21">
        <f>(I14-$E$14)/$E$14</f>
        <v>1.7500000000000002</v>
      </c>
      <c r="Q14" s="23"/>
      <c r="R14" s="57">
        <v>2020</v>
      </c>
      <c r="S14" s="60">
        <f>K15</f>
        <v>-0.16666666666666671</v>
      </c>
      <c r="T14" s="60">
        <f>L15</f>
        <v>0</v>
      </c>
      <c r="U14" s="57">
        <v>2020</v>
      </c>
      <c r="V14" s="60">
        <f>K16</f>
        <v>-0.8</v>
      </c>
      <c r="W14" s="60">
        <f>L16</f>
        <v>1.7999999999999998</v>
      </c>
      <c r="X14" s="57">
        <v>2020</v>
      </c>
      <c r="Y14" s="60">
        <f>K17</f>
        <v>-0.31034482758620691</v>
      </c>
      <c r="Z14" s="60">
        <f>L17</f>
        <v>0.11637931034482757</v>
      </c>
      <c r="AA14" s="104"/>
    </row>
    <row r="15" spans="1:27" ht="20.100000000000001" customHeight="1" x14ac:dyDescent="0.35">
      <c r="A15" s="20" t="s">
        <v>185</v>
      </c>
      <c r="B15" s="26" t="s">
        <v>128</v>
      </c>
      <c r="C15" s="62">
        <v>0.54</v>
      </c>
      <c r="D15" s="62">
        <v>0.54</v>
      </c>
      <c r="E15" s="62">
        <v>0.54</v>
      </c>
      <c r="F15" s="62">
        <v>0.45</v>
      </c>
      <c r="G15" s="62">
        <v>0.54</v>
      </c>
      <c r="H15" s="62">
        <v>0.4</v>
      </c>
      <c r="I15" s="62">
        <v>0.54</v>
      </c>
      <c r="J15" s="111"/>
      <c r="K15" s="21">
        <f>(F15-$C$15)/$C$15</f>
        <v>-0.16666666666666671</v>
      </c>
      <c r="L15" s="21">
        <f>(G15-$C$15)/$C$15</f>
        <v>0</v>
      </c>
      <c r="M15" s="63">
        <f>(-0.003086*D2)+6.067901</f>
        <v>-0.19667900000000049</v>
      </c>
      <c r="N15" s="63">
        <f>L15</f>
        <v>0</v>
      </c>
      <c r="O15" s="21">
        <f>(H15-$E$15)/$E$15</f>
        <v>-0.25925925925925924</v>
      </c>
      <c r="P15" s="21">
        <f>(I15-$E$15)/$E$15</f>
        <v>0</v>
      </c>
      <c r="Q15" s="23"/>
      <c r="R15" s="57">
        <v>2050</v>
      </c>
      <c r="S15" s="60">
        <f>O15</f>
        <v>-0.25925925925925924</v>
      </c>
      <c r="T15" s="60">
        <f>P15</f>
        <v>0</v>
      </c>
      <c r="U15" s="57">
        <v>2050</v>
      </c>
      <c r="V15" s="60">
        <f>O16</f>
        <v>-0.8125</v>
      </c>
      <c r="W15" s="60">
        <f>P16</f>
        <v>0.56249999999999989</v>
      </c>
      <c r="X15" s="57">
        <v>2050</v>
      </c>
      <c r="Y15" s="60">
        <f>O17</f>
        <v>-0.38666666666666666</v>
      </c>
      <c r="Z15" s="60">
        <f>P17</f>
        <v>1.3466666666666667</v>
      </c>
      <c r="AA15" s="104"/>
    </row>
    <row r="16" spans="1:27" ht="20.100000000000001" customHeight="1" x14ac:dyDescent="0.35">
      <c r="A16" s="20" t="s">
        <v>196</v>
      </c>
      <c r="B16" s="26" t="s">
        <v>129</v>
      </c>
      <c r="C16" s="62">
        <v>2</v>
      </c>
      <c r="D16" s="62">
        <v>1.8</v>
      </c>
      <c r="E16" s="62">
        <v>1.6</v>
      </c>
      <c r="F16" s="62">
        <v>0.4</v>
      </c>
      <c r="G16" s="62">
        <v>5.6</v>
      </c>
      <c r="H16" s="62">
        <v>0.3</v>
      </c>
      <c r="I16" s="62">
        <v>2.5</v>
      </c>
      <c r="J16" s="111"/>
      <c r="K16" s="21">
        <f>(F16-$C$16)/$C$16</f>
        <v>-0.8</v>
      </c>
      <c r="L16" s="21">
        <f>(G16-$C$16)/$C$16</f>
        <v>1.7999999999999998</v>
      </c>
      <c r="M16" s="63">
        <f>(-0.000417*D2)+0.041667</f>
        <v>-0.80484299999999998</v>
      </c>
      <c r="N16" s="63">
        <f>(-0.04125*D2)+85.125</f>
        <v>1.3875000000000028</v>
      </c>
      <c r="O16" s="21">
        <f>(H16-$E$16)/$E$16</f>
        <v>-0.8125</v>
      </c>
      <c r="P16" s="21">
        <f>(I16-$E$16)/$E$16</f>
        <v>0.56249999999999989</v>
      </c>
      <c r="Q16" s="23"/>
      <c r="R16" s="57" t="s">
        <v>5</v>
      </c>
      <c r="S16" s="57" t="s">
        <v>6</v>
      </c>
      <c r="T16" s="57" t="s">
        <v>7</v>
      </c>
      <c r="U16" s="57" t="s">
        <v>5</v>
      </c>
      <c r="V16" s="57" t="s">
        <v>6</v>
      </c>
      <c r="W16" s="57" t="s">
        <v>7</v>
      </c>
      <c r="X16" s="57" t="s">
        <v>5</v>
      </c>
      <c r="Y16" s="57" t="s">
        <v>6</v>
      </c>
      <c r="Z16" s="57" t="s">
        <v>7</v>
      </c>
      <c r="AA16" s="104"/>
    </row>
    <row r="17" spans="1:27" ht="20.100000000000001" customHeight="1" x14ac:dyDescent="0.35">
      <c r="A17" s="20" t="s">
        <v>197</v>
      </c>
      <c r="B17" s="26" t="s">
        <v>130</v>
      </c>
      <c r="C17" s="62">
        <v>0.23200000000000001</v>
      </c>
      <c r="D17" s="62">
        <v>0.14199999999999999</v>
      </c>
      <c r="E17" s="62">
        <v>7.4999999999999997E-2</v>
      </c>
      <c r="F17" s="62">
        <v>0.16</v>
      </c>
      <c r="G17" s="62">
        <v>0.25900000000000001</v>
      </c>
      <c r="H17" s="62">
        <v>4.5999999999999999E-2</v>
      </c>
      <c r="I17" s="62">
        <v>0.17599999999999999</v>
      </c>
      <c r="J17" s="111"/>
      <c r="K17" s="21">
        <f>(F17-$C$17)/$C$17</f>
        <v>-0.31034482758620691</v>
      </c>
      <c r="L17" s="21">
        <f>(G17-$C$17)/$C$17</f>
        <v>0.11637931034482757</v>
      </c>
      <c r="M17" s="63">
        <f>(-0.002544*D2)+4.828659</f>
        <v>-0.33566099999999999</v>
      </c>
      <c r="N17" s="63">
        <f>(0.04101*D2)-82.722969</f>
        <v>0.52733099999998956</v>
      </c>
      <c r="O17" s="21">
        <f>(H17-$E$17)/$E$17</f>
        <v>-0.38666666666666666</v>
      </c>
      <c r="P17" s="21">
        <f>(I17-$E$17)/$E$17</f>
        <v>1.3466666666666667</v>
      </c>
      <c r="Q17" s="23"/>
      <c r="R17" s="57">
        <v>2020</v>
      </c>
      <c r="S17" s="60">
        <f>K18</f>
        <v>-0.1111111111111112</v>
      </c>
      <c r="T17" s="60">
        <f>L18</f>
        <v>0.88888888888888884</v>
      </c>
      <c r="U17" s="57">
        <v>2020</v>
      </c>
      <c r="V17" s="60">
        <f>K19</f>
        <v>-0.15151515151515146</v>
      </c>
      <c r="W17" s="60">
        <f>L19</f>
        <v>0.75757575757575735</v>
      </c>
      <c r="X17" s="57">
        <v>2020</v>
      </c>
      <c r="Y17" s="60">
        <f>K20</f>
        <v>-0.2857142857142857</v>
      </c>
      <c r="Z17" s="60">
        <f>L20</f>
        <v>0.14285714285714285</v>
      </c>
      <c r="AA17" s="104"/>
    </row>
    <row r="18" spans="1:27" ht="20.100000000000001" customHeight="1" x14ac:dyDescent="0.35">
      <c r="A18" s="20" t="s">
        <v>198</v>
      </c>
      <c r="B18" s="26" t="s">
        <v>131</v>
      </c>
      <c r="C18" s="62">
        <v>0.27</v>
      </c>
      <c r="D18" s="62">
        <v>0.16</v>
      </c>
      <c r="E18" s="62">
        <v>0.06</v>
      </c>
      <c r="F18" s="62">
        <v>0.24</v>
      </c>
      <c r="G18" s="62">
        <v>0.51</v>
      </c>
      <c r="H18" s="62">
        <v>0.04</v>
      </c>
      <c r="I18" s="62">
        <v>0.25</v>
      </c>
      <c r="J18" s="111"/>
      <c r="K18" s="21">
        <f>(F18-$C$18)/$C$18</f>
        <v>-0.1111111111111112</v>
      </c>
      <c r="L18" s="21">
        <f>(G18-$C$18)/$C$18</f>
        <v>0.88888888888888884</v>
      </c>
      <c r="M18" s="63">
        <f>(-0.007407*D2)+14.851852</f>
        <v>-0.18435800000000135</v>
      </c>
      <c r="N18" s="63">
        <f>(0.075926*D2)-152.481481</f>
        <v>1.6482989999999802</v>
      </c>
      <c r="O18" s="21">
        <f>(H18-$E$18)/$E$18</f>
        <v>-0.33333333333333331</v>
      </c>
      <c r="P18" s="21">
        <f>(I18-$E$18)/$E$18</f>
        <v>3.166666666666667</v>
      </c>
      <c r="Q18" s="23"/>
      <c r="R18" s="57">
        <v>2050</v>
      </c>
      <c r="S18" s="60">
        <f>O18</f>
        <v>-0.33333333333333331</v>
      </c>
      <c r="T18" s="60">
        <f>P18</f>
        <v>3.166666666666667</v>
      </c>
      <c r="U18" s="57">
        <v>2050</v>
      </c>
      <c r="V18" s="60">
        <f>O19</f>
        <v>-0.375</v>
      </c>
      <c r="W18" s="60">
        <f>P19</f>
        <v>2.8749999999999996</v>
      </c>
      <c r="X18" s="57">
        <v>2050</v>
      </c>
      <c r="Y18" s="60">
        <f>O20</f>
        <v>-0.6</v>
      </c>
      <c r="Z18" s="60">
        <f>P20</f>
        <v>0.4</v>
      </c>
      <c r="AA18" s="104"/>
    </row>
    <row r="19" spans="1:27" ht="20.100000000000001" customHeight="1" x14ac:dyDescent="0.35">
      <c r="A19" s="20" t="s">
        <v>199</v>
      </c>
      <c r="B19" s="26" t="s">
        <v>132</v>
      </c>
      <c r="C19" s="62">
        <v>0.33</v>
      </c>
      <c r="D19" s="62">
        <v>0.2</v>
      </c>
      <c r="E19" s="62">
        <v>0.08</v>
      </c>
      <c r="F19" s="62">
        <v>0.28000000000000003</v>
      </c>
      <c r="G19" s="62">
        <v>0.57999999999999996</v>
      </c>
      <c r="H19" s="62">
        <v>0.05</v>
      </c>
      <c r="I19" s="62">
        <v>0.31</v>
      </c>
      <c r="J19" s="111"/>
      <c r="K19" s="21">
        <f>(F19-$C$19)/$C$19</f>
        <v>-0.15151515151515146</v>
      </c>
      <c r="L19" s="21">
        <f>(G19-$C$19)/$C$19</f>
        <v>0.75757575757575735</v>
      </c>
      <c r="M19" s="63">
        <f>(-0.007449*D2)+14.896465</f>
        <v>-0.22500500000000123</v>
      </c>
      <c r="N19" s="63">
        <f>(0.070581*D2)-141.815657</f>
        <v>1.4637730000000317</v>
      </c>
      <c r="O19" s="21">
        <f>(H19-$E$19)/$E$19</f>
        <v>-0.375</v>
      </c>
      <c r="P19" s="21">
        <f>(I19-$E$19)/$E$19</f>
        <v>2.8749999999999996</v>
      </c>
      <c r="Q19" s="23"/>
      <c r="R19" s="57" t="s">
        <v>5</v>
      </c>
      <c r="S19" s="57" t="s">
        <v>6</v>
      </c>
      <c r="T19" s="57" t="s">
        <v>7</v>
      </c>
      <c r="U19" s="57" t="s">
        <v>5</v>
      </c>
      <c r="V19" s="57" t="s">
        <v>6</v>
      </c>
      <c r="W19" s="57" t="s">
        <v>7</v>
      </c>
      <c r="X19" s="64"/>
      <c r="Y19" s="64"/>
      <c r="Z19" s="64"/>
      <c r="AA19" s="104"/>
    </row>
    <row r="20" spans="1:27" ht="20.100000000000001" customHeight="1" x14ac:dyDescent="0.35">
      <c r="A20" s="20" t="s">
        <v>12</v>
      </c>
      <c r="B20" s="26" t="s">
        <v>133</v>
      </c>
      <c r="C20" s="62">
        <v>14000</v>
      </c>
      <c r="D20" s="62">
        <v>30000</v>
      </c>
      <c r="E20" s="62">
        <v>50000</v>
      </c>
      <c r="F20" s="62">
        <v>10000</v>
      </c>
      <c r="G20" s="62">
        <v>16000</v>
      </c>
      <c r="H20" s="62">
        <v>20000</v>
      </c>
      <c r="I20" s="62">
        <v>70000</v>
      </c>
      <c r="J20" s="111"/>
      <c r="K20" s="21">
        <f>(F20-$C$20)/$C$20</f>
        <v>-0.2857142857142857</v>
      </c>
      <c r="L20" s="21">
        <f>(G20-$C$20)/$C$20</f>
        <v>0.14285714285714285</v>
      </c>
      <c r="M20" s="63">
        <f>(-0.010476*D2)+20.87619</f>
        <v>-0.39008999999999716</v>
      </c>
      <c r="N20" s="63">
        <f>(0.008571*D2)-17.171429</f>
        <v>0.22770099999999971</v>
      </c>
      <c r="O20" s="21">
        <f>(H20-$E$20)/$E$20</f>
        <v>-0.6</v>
      </c>
      <c r="P20" s="21">
        <f>(I20-$E$20)/$E$20</f>
        <v>0.4</v>
      </c>
      <c r="Q20" s="23"/>
      <c r="R20" s="57">
        <v>2020</v>
      </c>
      <c r="S20" s="60">
        <f>K21</f>
        <v>-7.6190476190476197E-2</v>
      </c>
      <c r="T20" s="60">
        <f>L21</f>
        <v>0.33333333333333331</v>
      </c>
      <c r="U20" s="57">
        <v>2020</v>
      </c>
      <c r="V20" s="60">
        <f>K22</f>
        <v>-6.9230769230769235E-2</v>
      </c>
      <c r="W20" s="60">
        <f>L22</f>
        <v>0.53846153846153844</v>
      </c>
      <c r="X20" s="65"/>
      <c r="Y20" s="65"/>
      <c r="Z20" s="65"/>
      <c r="AA20" s="104"/>
    </row>
    <row r="21" spans="1:27" ht="20.100000000000001" customHeight="1" x14ac:dyDescent="0.35">
      <c r="A21" s="20" t="s">
        <v>200</v>
      </c>
      <c r="B21" s="26" t="s">
        <v>134</v>
      </c>
      <c r="C21" s="62">
        <v>105</v>
      </c>
      <c r="D21" s="62">
        <v>139</v>
      </c>
      <c r="E21" s="62">
        <v>209</v>
      </c>
      <c r="F21" s="62">
        <v>97</v>
      </c>
      <c r="G21" s="62">
        <v>140</v>
      </c>
      <c r="H21" s="62">
        <v>150</v>
      </c>
      <c r="I21" s="62">
        <v>300</v>
      </c>
      <c r="J21" s="111"/>
      <c r="K21" s="21">
        <f>(F21-$C$21)/$C$21</f>
        <v>-7.6190476190476197E-2</v>
      </c>
      <c r="L21" s="21">
        <f>(G21-$C$21)/$C$21</f>
        <v>0.33333333333333331</v>
      </c>
      <c r="M21" s="63">
        <f>(-0.00687*D2)+13.801625</f>
        <v>-0.14447500000000169</v>
      </c>
      <c r="N21" s="63">
        <f>(0.003402*D2)-6.539607</f>
        <v>0.36645299999999992</v>
      </c>
      <c r="O21" s="21">
        <f>(H21-$E$21)/$E$21</f>
        <v>-0.28229665071770332</v>
      </c>
      <c r="P21" s="21">
        <f>(I21-$E$21)/$E$21</f>
        <v>0.4354066985645933</v>
      </c>
      <c r="Q21" s="23"/>
      <c r="R21" s="57">
        <v>2050</v>
      </c>
      <c r="S21" s="60">
        <f>O21</f>
        <v>-0.28229665071770332</v>
      </c>
      <c r="T21" s="60">
        <f>P21</f>
        <v>0.4354066985645933</v>
      </c>
      <c r="U21" s="57">
        <v>2050</v>
      </c>
      <c r="V21" s="60">
        <f>O22</f>
        <v>-0.33461538461538459</v>
      </c>
      <c r="W21" s="60">
        <f>P22</f>
        <v>0.53846153846153844</v>
      </c>
      <c r="X21" s="65"/>
      <c r="Y21" s="65"/>
      <c r="Z21" s="65"/>
      <c r="AA21" s="104"/>
    </row>
    <row r="22" spans="1:27" ht="20.100000000000001" customHeight="1" x14ac:dyDescent="0.35">
      <c r="A22" s="20" t="s">
        <v>201</v>
      </c>
      <c r="B22" s="26" t="s">
        <v>135</v>
      </c>
      <c r="C22" s="66">
        <v>130</v>
      </c>
      <c r="D22" s="66">
        <v>173</v>
      </c>
      <c r="E22" s="66">
        <v>260</v>
      </c>
      <c r="F22" s="62">
        <v>121</v>
      </c>
      <c r="G22" s="62">
        <v>200</v>
      </c>
      <c r="H22" s="62">
        <v>173</v>
      </c>
      <c r="I22" s="62">
        <v>400</v>
      </c>
      <c r="J22" s="111"/>
      <c r="K22" s="21">
        <f>(F22-$C$22)/$C$22</f>
        <v>-6.9230769230769235E-2</v>
      </c>
      <c r="L22" s="21">
        <f>(G22-$C$22)/$C$22</f>
        <v>0.53846153846153844</v>
      </c>
      <c r="M22" s="63">
        <f>(-0.008846*D2)+17.8</f>
        <v>-0.15737999999999985</v>
      </c>
      <c r="N22" s="63">
        <f>L22</f>
        <v>0.53846153846153844</v>
      </c>
      <c r="O22" s="21">
        <f>(H22-$E$22)/$E$22</f>
        <v>-0.33461538461538459</v>
      </c>
      <c r="P22" s="21">
        <f>(I22-$E$22)/$E$22</f>
        <v>0.53846153846153844</v>
      </c>
      <c r="Q22" s="23"/>
      <c r="R22" s="65"/>
      <c r="S22" s="65"/>
      <c r="T22" s="65"/>
      <c r="U22" s="67"/>
      <c r="V22" s="67"/>
      <c r="W22" s="67"/>
      <c r="X22" s="67"/>
      <c r="Y22" s="67"/>
      <c r="Z22" s="67"/>
      <c r="AA22" s="105"/>
    </row>
    <row r="23" spans="1:27" x14ac:dyDescent="0.35">
      <c r="A23" s="33"/>
      <c r="B23" s="68"/>
      <c r="M23" s="69"/>
      <c r="N23" s="69"/>
      <c r="AA23" s="70"/>
    </row>
    <row r="24" spans="1:27" ht="49.5" customHeight="1" x14ac:dyDescent="0.35">
      <c r="A24" s="33"/>
      <c r="B24" s="68"/>
      <c r="L24" s="71"/>
      <c r="M24" s="72"/>
      <c r="N24" s="72"/>
      <c r="O24" s="72"/>
      <c r="P24" s="72"/>
      <c r="Q24" s="72"/>
      <c r="R24" s="54"/>
      <c r="S24" s="73"/>
      <c r="T24" s="73"/>
      <c r="U24" s="73"/>
      <c r="V24" s="73"/>
      <c r="W24" s="73"/>
      <c r="X24" s="73"/>
      <c r="Y24" s="73"/>
      <c r="Z24" s="73"/>
      <c r="AA24" s="53"/>
    </row>
    <row r="25" spans="1:27" x14ac:dyDescent="0.35">
      <c r="A25" s="20"/>
      <c r="B25" s="106" t="s">
        <v>114</v>
      </c>
      <c r="C25" s="106"/>
      <c r="D25" s="106"/>
      <c r="E25" s="106"/>
      <c r="F25" s="106"/>
      <c r="G25" s="106"/>
      <c r="H25" s="106"/>
      <c r="I25" s="106"/>
      <c r="M25" s="69"/>
      <c r="N25" s="69"/>
    </row>
    <row r="26" spans="1:27" ht="24.95" customHeight="1" x14ac:dyDescent="0.35">
      <c r="A26" s="20" t="s">
        <v>202</v>
      </c>
      <c r="B26" s="110" t="s">
        <v>138</v>
      </c>
      <c r="C26" s="110"/>
      <c r="D26" s="110"/>
      <c r="E26" s="110"/>
      <c r="F26" s="110"/>
      <c r="G26" s="110"/>
      <c r="H26" s="110"/>
      <c r="I26" s="110"/>
      <c r="M26" s="69"/>
      <c r="N26" s="69"/>
    </row>
    <row r="27" spans="1:27" ht="24.95" customHeight="1" x14ac:dyDescent="0.35">
      <c r="A27" s="20" t="s">
        <v>203</v>
      </c>
      <c r="B27" s="110"/>
      <c r="C27" s="110"/>
      <c r="D27" s="110"/>
      <c r="E27" s="110"/>
      <c r="F27" s="110"/>
      <c r="G27" s="110"/>
      <c r="H27" s="110"/>
      <c r="I27" s="110"/>
      <c r="M27" s="69"/>
      <c r="N27" s="69"/>
    </row>
    <row r="28" spans="1:27" ht="68.25" customHeight="1" x14ac:dyDescent="0.35">
      <c r="A28" s="20" t="s">
        <v>190</v>
      </c>
      <c r="B28" s="107" t="s">
        <v>206</v>
      </c>
      <c r="C28" s="108"/>
      <c r="D28" s="108"/>
      <c r="E28" s="108"/>
      <c r="F28" s="108"/>
      <c r="G28" s="108"/>
      <c r="H28" s="108"/>
      <c r="I28" s="109"/>
      <c r="J28" s="74"/>
      <c r="K28" s="75"/>
      <c r="L28" s="75"/>
      <c r="M28" s="75"/>
      <c r="N28" s="69"/>
    </row>
    <row r="29" spans="1:27" ht="72.75" customHeight="1" x14ac:dyDescent="0.35">
      <c r="A29" s="20" t="s">
        <v>204</v>
      </c>
      <c r="B29" s="107" t="s">
        <v>207</v>
      </c>
      <c r="C29" s="108"/>
      <c r="D29" s="108"/>
      <c r="E29" s="108"/>
      <c r="F29" s="108"/>
      <c r="G29" s="108"/>
      <c r="H29" s="108"/>
      <c r="I29" s="109"/>
      <c r="J29" s="76"/>
      <c r="K29" s="75"/>
      <c r="L29" s="75"/>
      <c r="M29" s="75"/>
      <c r="N29" s="69"/>
    </row>
    <row r="30" spans="1:27" x14ac:dyDescent="0.35">
      <c r="A30" s="68"/>
      <c r="B30" s="68"/>
      <c r="M30" s="69"/>
      <c r="N30" s="69"/>
    </row>
    <row r="31" spans="1:27" x14ac:dyDescent="0.35">
      <c r="A31" s="68"/>
      <c r="B31" s="68"/>
      <c r="M31" s="69"/>
      <c r="N31" s="69"/>
    </row>
    <row r="32" spans="1:27" s="12" customFormat="1" ht="15" x14ac:dyDescent="0.3">
      <c r="A32" s="12">
        <v>1</v>
      </c>
      <c r="B32" s="12" t="s">
        <v>74</v>
      </c>
      <c r="M32" s="18"/>
      <c r="N32" s="18"/>
    </row>
    <row r="33" spans="1:14" s="12" customFormat="1" ht="15" x14ac:dyDescent="0.3">
      <c r="A33" s="12">
        <v>2</v>
      </c>
      <c r="B33" s="12" t="s">
        <v>75</v>
      </c>
      <c r="M33" s="18"/>
      <c r="N33" s="18"/>
    </row>
    <row r="34" spans="1:14" s="12" customFormat="1" ht="15" x14ac:dyDescent="0.3">
      <c r="A34" s="12">
        <v>3</v>
      </c>
      <c r="B34" s="12" t="s">
        <v>76</v>
      </c>
      <c r="M34" s="18"/>
      <c r="N34" s="18"/>
    </row>
    <row r="35" spans="1:14" s="12" customFormat="1" ht="15" x14ac:dyDescent="0.3">
      <c r="A35" s="12">
        <v>4</v>
      </c>
      <c r="B35" s="12" t="s">
        <v>77</v>
      </c>
      <c r="M35" s="18"/>
      <c r="N35" s="18"/>
    </row>
    <row r="36" spans="1:14" s="12" customFormat="1" ht="15" x14ac:dyDescent="0.3">
      <c r="A36" s="12">
        <v>5</v>
      </c>
      <c r="B36" s="12" t="s">
        <v>78</v>
      </c>
      <c r="M36" s="18"/>
      <c r="N36" s="18"/>
    </row>
    <row r="37" spans="1:14" s="12" customFormat="1" ht="15" x14ac:dyDescent="0.3">
      <c r="A37" s="12">
        <v>6</v>
      </c>
      <c r="B37" s="12" t="s">
        <v>79</v>
      </c>
      <c r="M37" s="18"/>
      <c r="N37" s="18"/>
    </row>
    <row r="38" spans="1:14" s="12" customFormat="1" ht="15" x14ac:dyDescent="0.3">
      <c r="A38" s="12">
        <v>7</v>
      </c>
      <c r="B38" s="12" t="s">
        <v>80</v>
      </c>
    </row>
    <row r="39" spans="1:14" s="12" customFormat="1" ht="15" x14ac:dyDescent="0.3">
      <c r="A39" s="12">
        <v>8</v>
      </c>
      <c r="B39" s="12" t="s">
        <v>81</v>
      </c>
    </row>
    <row r="40" spans="1:14" s="12" customFormat="1" ht="15" x14ac:dyDescent="0.3">
      <c r="A40" s="12">
        <v>9</v>
      </c>
      <c r="B40" s="12" t="s">
        <v>82</v>
      </c>
    </row>
    <row r="41" spans="1:14" s="12" customFormat="1" ht="15" x14ac:dyDescent="0.3">
      <c r="A41" s="12">
        <v>10</v>
      </c>
      <c r="B41" s="12" t="s">
        <v>83</v>
      </c>
    </row>
    <row r="42" spans="1:14" s="12" customFormat="1" ht="15" x14ac:dyDescent="0.3">
      <c r="A42" s="12">
        <v>11</v>
      </c>
      <c r="B42" s="12" t="s">
        <v>84</v>
      </c>
    </row>
    <row r="43" spans="1:14" s="12" customFormat="1" ht="15" x14ac:dyDescent="0.3">
      <c r="A43" s="12">
        <v>12</v>
      </c>
      <c r="B43" s="12" t="s">
        <v>85</v>
      </c>
    </row>
    <row r="44" spans="1:14" s="12" customFormat="1" ht="15" x14ac:dyDescent="0.3">
      <c r="A44" s="12">
        <v>13</v>
      </c>
      <c r="B44" s="12" t="s">
        <v>86</v>
      </c>
    </row>
    <row r="45" spans="1:14" s="12" customFormat="1" ht="15" x14ac:dyDescent="0.3">
      <c r="A45" s="12">
        <v>14</v>
      </c>
      <c r="B45" s="12" t="s">
        <v>87</v>
      </c>
    </row>
    <row r="46" spans="1:14" s="12" customFormat="1" ht="15" x14ac:dyDescent="0.3">
      <c r="A46" s="12">
        <v>15</v>
      </c>
      <c r="B46" s="12" t="s">
        <v>88</v>
      </c>
    </row>
    <row r="47" spans="1:14" s="12" customFormat="1" ht="15" x14ac:dyDescent="0.3">
      <c r="A47" s="12">
        <v>16</v>
      </c>
      <c r="B47" s="12" t="s">
        <v>89</v>
      </c>
    </row>
    <row r="48" spans="1:14" s="12" customFormat="1" ht="15" x14ac:dyDescent="0.3">
      <c r="A48" s="12">
        <v>17</v>
      </c>
      <c r="B48" s="12" t="s">
        <v>90</v>
      </c>
    </row>
    <row r="49" spans="1:2" s="12" customFormat="1" ht="15" x14ac:dyDescent="0.3">
      <c r="A49" s="12">
        <v>18</v>
      </c>
      <c r="B49" s="12" t="s">
        <v>91</v>
      </c>
    </row>
    <row r="50" spans="1:2" s="12" customFormat="1" ht="15" x14ac:dyDescent="0.3">
      <c r="A50" s="12">
        <v>19</v>
      </c>
      <c r="B50" s="12" t="s">
        <v>92</v>
      </c>
    </row>
    <row r="51" spans="1:2" s="12" customFormat="1" ht="15" x14ac:dyDescent="0.3">
      <c r="A51" s="12">
        <v>20</v>
      </c>
      <c r="B51" s="12" t="s">
        <v>93</v>
      </c>
    </row>
    <row r="52" spans="1:2" s="12" customFormat="1" ht="15" x14ac:dyDescent="0.3">
      <c r="A52" s="12">
        <v>21</v>
      </c>
      <c r="B52" s="12" t="s">
        <v>94</v>
      </c>
    </row>
    <row r="53" spans="1:2" s="12" customFormat="1" ht="15" x14ac:dyDescent="0.3">
      <c r="A53" s="12">
        <v>22</v>
      </c>
      <c r="B53" s="12" t="s">
        <v>95</v>
      </c>
    </row>
    <row r="54" spans="1:2" s="12" customFormat="1" ht="15" x14ac:dyDescent="0.3">
      <c r="A54" s="12">
        <v>23</v>
      </c>
      <c r="B54" s="12" t="s">
        <v>96</v>
      </c>
    </row>
  </sheetData>
  <mergeCells count="11">
    <mergeCell ref="B28:I28"/>
    <mergeCell ref="B29:I29"/>
    <mergeCell ref="B26:I27"/>
    <mergeCell ref="J3:J22"/>
    <mergeCell ref="B25:I25"/>
    <mergeCell ref="AA2:AA22"/>
    <mergeCell ref="F1:G1"/>
    <mergeCell ref="H1:I1"/>
    <mergeCell ref="K1:L1"/>
    <mergeCell ref="M1:N1"/>
    <mergeCell ref="O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31</vt:i4>
      </vt:variant>
      <vt:variant>
        <vt:lpstr>Rangos con nombre</vt:lpstr>
      </vt:variant>
      <vt:variant>
        <vt:i4>16</vt:i4>
      </vt:variant>
    </vt:vector>
  </HeadingPairs>
  <TitlesOfParts>
    <vt:vector size="50" baseType="lpstr">
      <vt:lpstr>Lithium Ion</vt:lpstr>
      <vt:lpstr>Data</vt:lpstr>
      <vt:lpstr>Uncertanties</vt:lpstr>
      <vt:lpstr>03UES_L</vt:lpstr>
      <vt:lpstr>04UOC_L</vt:lpstr>
      <vt:lpstr>05URT_U</vt:lpstr>
      <vt:lpstr>06URT_L</vt:lpstr>
      <vt:lpstr>07UEL_U</vt:lpstr>
      <vt:lpstr>08UFO_L</vt:lpstr>
      <vt:lpstr>08UFO_U</vt:lpstr>
      <vt:lpstr>09UPO_U</vt:lpstr>
      <vt:lpstr>10UTL_L</vt:lpstr>
      <vt:lpstr>10UTL_U</vt:lpstr>
      <vt:lpstr>11UCT_L</vt:lpstr>
      <vt:lpstr>12UEC_L</vt:lpstr>
      <vt:lpstr>12UEC_U</vt:lpstr>
      <vt:lpstr>13UCC_L</vt:lpstr>
      <vt:lpstr>13UCC_U</vt:lpstr>
      <vt:lpstr>14UOP_L</vt:lpstr>
      <vt:lpstr>14UOP_U</vt:lpstr>
      <vt:lpstr>15UFO_L</vt:lpstr>
      <vt:lpstr>16UVO_L</vt:lpstr>
      <vt:lpstr>16UVO_U</vt:lpstr>
      <vt:lpstr>17UES_L</vt:lpstr>
      <vt:lpstr>17UES_U</vt:lpstr>
      <vt:lpstr>18UOC_L</vt:lpstr>
      <vt:lpstr>18UOC_U</vt:lpstr>
      <vt:lpstr>19UAI_L</vt:lpstr>
      <vt:lpstr>19UAI_U</vt:lpstr>
      <vt:lpstr>20ULT_L</vt:lpstr>
      <vt:lpstr>20ULT_U</vt:lpstr>
      <vt:lpstr>21USE_L</vt:lpstr>
      <vt:lpstr>21USE_U</vt:lpstr>
      <vt:lpstr>22UED_L</vt:lpstr>
      <vt:lpstr>'Lithium Ion'!_Ref528590632</vt:lpstr>
      <vt:lpstr>'Lithium Ion'!_Ref528591471</vt:lpstr>
      <vt:lpstr>'Lithium Ion'!_Ref528591483</vt:lpstr>
      <vt:lpstr>'Lithium Ion'!_Ref528591591</vt:lpstr>
      <vt:lpstr>'Lithium Ion'!_Ref528592058</vt:lpstr>
      <vt:lpstr>'Lithium Ion'!_Ref528592236</vt:lpstr>
      <vt:lpstr>'Lithium Ion'!_Ref528593310</vt:lpstr>
      <vt:lpstr>'Lithium Ion'!_Ref528654609</vt:lpstr>
      <vt:lpstr>'Lithium Ion'!_Ref528667067</vt:lpstr>
      <vt:lpstr>'Lithium Ion'!_Ref528668644</vt:lpstr>
      <vt:lpstr>'Lithium Ion'!_Ref528668946</vt:lpstr>
      <vt:lpstr>'Lithium Ion'!_Ref528669041</vt:lpstr>
      <vt:lpstr>'Lithium Ion'!_Ref528669245</vt:lpstr>
      <vt:lpstr>'Lithium Ion'!_Ref528670685</vt:lpstr>
      <vt:lpstr>'Lithium Ion'!_Ref528918119</vt:lpstr>
      <vt:lpstr>'Lithium Ion'!_Toc528918118</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Ulises</cp:lastModifiedBy>
  <cp:revision/>
  <dcterms:created xsi:type="dcterms:W3CDTF">2020-01-17T11:30:29Z</dcterms:created>
  <dcterms:modified xsi:type="dcterms:W3CDTF">2020-09-01T16:04:29Z</dcterms:modified>
</cp:coreProperties>
</file>