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xml"/>
  <Override PartName="/xl/charts/chart24.xml" ContentType="application/vnd.openxmlformats-officedocument.drawingml.chart+xml"/>
  <Override PartName="/xl/drawings/drawing26.xml" ContentType="application/vnd.openxmlformats-officedocument.drawing+xml"/>
  <Override PartName="/xl/charts/chart25.xml" ContentType="application/vnd.openxmlformats-officedocument.drawingml.chart+xml"/>
  <Override PartName="/xl/drawings/drawing27.xml" ContentType="application/vnd.openxmlformats-officedocument.drawing+xml"/>
  <Override PartName="/xl/charts/chart26.xml" ContentType="application/vnd.openxmlformats-officedocument.drawingml.chart+xml"/>
  <Override PartName="/xl/drawings/drawing28.xml" ContentType="application/vnd.openxmlformats-officedocument.drawing+xml"/>
  <Override PartName="/xl/charts/chart27.xml" ContentType="application/vnd.openxmlformats-officedocument.drawingml.chart+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xml"/>
  <Override PartName="/xl/charts/chart29.xml" ContentType="application/vnd.openxmlformats-officedocument.drawingml.chart+xml"/>
  <Override PartName="/xl/drawings/drawing31.xml" ContentType="application/vnd.openxmlformats-officedocument.drawing+xml"/>
  <Override PartName="/xl/charts/chart30.xml" ContentType="application/vnd.openxmlformats-officedocument.drawingml.chart+xml"/>
  <Override PartName="/xl/drawings/drawing32.xml" ContentType="application/vnd.openxmlformats-officedocument.drawing+xml"/>
  <Override PartName="/xl/charts/chart3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03-PROY ALM ENE\04-INFORMES\R-D2\Tablas V11\"/>
    </mc:Choice>
  </mc:AlternateContent>
  <xr:revisionPtr revIDLastSave="0" documentId="13_ncr:1_{8D1DC582-8249-403E-80B7-14B4DF053A21}" xr6:coauthVersionLast="45" xr6:coauthVersionMax="45" xr10:uidLastSave="{00000000-0000-0000-0000-000000000000}"/>
  <bookViews>
    <workbookView xWindow="30300" yWindow="1155" windowWidth="26145" windowHeight="14640" xr2:uid="{00000000-000D-0000-FFFF-FFFF00000000}"/>
  </bookViews>
  <sheets>
    <sheet name="Lithium Ion" sheetId="2" r:id="rId1"/>
    <sheet name="Data" sheetId="3" r:id="rId2"/>
    <sheet name="Uncertanties" sheetId="6" r:id="rId3"/>
    <sheet name="03UES_L" sheetId="7" r:id="rId4"/>
    <sheet name="04UOC_L" sheetId="8" r:id="rId5"/>
    <sheet name="05URT_U" sheetId="9" r:id="rId6"/>
    <sheet name="06URT_L" sheetId="10" r:id="rId7"/>
    <sheet name="07UEL_U" sheetId="11" r:id="rId8"/>
    <sheet name="08UFO_L" sheetId="12" r:id="rId9"/>
    <sheet name="08UFO_U" sheetId="13" r:id="rId10"/>
    <sheet name="09UPO_U" sheetId="14" r:id="rId11"/>
    <sheet name="10UTL_L" sheetId="15" r:id="rId12"/>
    <sheet name="10UTL_U" sheetId="16" r:id="rId13"/>
    <sheet name="11UCT_L" sheetId="17" r:id="rId14"/>
    <sheet name="12UEC_L" sheetId="18" r:id="rId15"/>
    <sheet name="12UEC_U" sheetId="19" r:id="rId16"/>
    <sheet name="13UCC_L" sheetId="20" r:id="rId17"/>
    <sheet name="13UCC_U" sheetId="21" r:id="rId18"/>
    <sheet name="14UOP_L" sheetId="22" r:id="rId19"/>
    <sheet name="14UOP_U" sheetId="23" r:id="rId20"/>
    <sheet name="15UFO_L" sheetId="24" r:id="rId21"/>
    <sheet name="16UVO_L" sheetId="25" r:id="rId22"/>
    <sheet name="16UVO_U" sheetId="26" r:id="rId23"/>
    <sheet name="17UES_L" sheetId="27" r:id="rId24"/>
    <sheet name="17UES_U" sheetId="28" r:id="rId25"/>
    <sheet name="18UOC_L" sheetId="29" r:id="rId26"/>
    <sheet name="18UOC_U" sheetId="30" r:id="rId27"/>
    <sheet name="19UAI_L" sheetId="31" r:id="rId28"/>
    <sheet name="19UAI_U" sheetId="32" r:id="rId29"/>
    <sheet name="20ULT_L" sheetId="33" r:id="rId30"/>
    <sheet name="20ULT_U" sheetId="34" r:id="rId31"/>
    <sheet name="21USE_L" sheetId="35" r:id="rId32"/>
    <sheet name="21USE_U" sheetId="36" r:id="rId33"/>
    <sheet name="22UED_L" sheetId="37" r:id="rId34"/>
  </sheets>
  <externalReferences>
    <externalReference r:id="rId35"/>
    <externalReference r:id="rId36"/>
  </externalReferences>
  <definedNames>
    <definedName name="_Ref528590632" localSheetId="0">'Lithium Ion'!$B$43</definedName>
    <definedName name="_Ref528590707" localSheetId="0">'Lithium Ion'!#REF!</definedName>
    <definedName name="_Ref528591471" localSheetId="0">'Lithium Ion'!$B$45</definedName>
    <definedName name="_Ref528591483" localSheetId="0">'Lithium Ion'!$B$46</definedName>
    <definedName name="_Ref528591591" localSheetId="0">'Lithium Ion'!$B$47</definedName>
    <definedName name="_Ref528592058" localSheetId="0">'Lithium Ion'!$B$48</definedName>
    <definedName name="_Ref528592236" localSheetId="0">'Lithium Ion'!$B$51</definedName>
    <definedName name="_Ref528593310" localSheetId="0">'Lithium Ion'!$B$58</definedName>
    <definedName name="_Ref528654609" localSheetId="0">'Lithium Ion'!$B$49</definedName>
    <definedName name="_Ref528654640" localSheetId="0">'Lithium Ion'!#REF!</definedName>
    <definedName name="_Ref528667067" localSheetId="0">'Lithium Ion'!$B$52</definedName>
    <definedName name="_Ref528668644" localSheetId="0">'Lithium Ion'!$B$53</definedName>
    <definedName name="_Ref528668946" localSheetId="0">'Lithium Ion'!$B$54</definedName>
    <definedName name="_Ref528669041" localSheetId="0">'Lithium Ion'!$B$55</definedName>
    <definedName name="_Ref528669245" localSheetId="0">'Lithium Ion'!$B$56</definedName>
    <definedName name="_Ref528670685" localSheetId="0">'Lithium Ion'!$B$59</definedName>
    <definedName name="_Ref528918119" localSheetId="0">'Lithium Ion'!$B$57</definedName>
    <definedName name="_Toc528918118" localSheetId="0">'Lithium Ion'!$A$61</definedName>
    <definedName name="aa">#REF!</definedName>
    <definedName name="asdf">#REF!</definedName>
    <definedName name="asdfasfd">#REF!</definedName>
    <definedName name="b">#REF!</definedName>
    <definedName name="BTV11_15">'[1]arbejds ark LARGE New'!$K$33</definedName>
    <definedName name="bvcxx">#REF!</definedName>
    <definedName name="bvcxxx">#REF!</definedName>
    <definedName name="BVT17_15">'[1]arbejds ark LARGE New'!$S$67</definedName>
    <definedName name="d">#REF!</definedName>
    <definedName name="ddd">#REF!</definedName>
    <definedName name="ddddd">#REF!</definedName>
    <definedName name="e">#REF!</definedName>
    <definedName name="EUR16tilEUR15">'[1]22 Photovoltaics  LARGE Old'!$N$2</definedName>
    <definedName name="ewr">#REF!</definedName>
    <definedName name="fds">#REF!</definedName>
    <definedName name="h">#REF!</definedName>
    <definedName name="Index" localSheetId="0">#REF!</definedName>
    <definedName name="Index">#REF!</definedName>
    <definedName name="qwer">#REF!</definedName>
    <definedName name="sadf">#REF!</definedName>
    <definedName name="Sheet" localSheetId="0">#REF!</definedName>
    <definedName name="Sheet">#REF!</definedName>
    <definedName name="SheetNew1">#REF!</definedName>
    <definedName name="Start10" localSheetId="0">'Lithium Ion'!#REF!</definedName>
    <definedName name="Start10">'[2]03 Li-Ion Battery power-intens'!#REF!</definedName>
    <definedName name="Start13" localSheetId="0">#REF!</definedName>
    <definedName name="Start13">#REF!</definedName>
    <definedName name="Start14" localSheetId="0">#REF!</definedName>
    <definedName name="Start14">#REF!</definedName>
    <definedName name="Start15" localSheetId="0">#REF!</definedName>
    <definedName name="Start15">#REF!</definedName>
    <definedName name="Start16" localSheetId="0">#REF!</definedName>
    <definedName name="Start16">#REF!</definedName>
    <definedName name="Start17" localSheetId="0">#REF!</definedName>
    <definedName name="Start17">#REF!</definedName>
    <definedName name="Start18" localSheetId="0">#REF!</definedName>
    <definedName name="Start18">#REF!</definedName>
    <definedName name="Start19" localSheetId="0">#REF!</definedName>
    <definedName name="Start19">#REF!</definedName>
    <definedName name="Start2" localSheetId="0">#REF!</definedName>
    <definedName name="Start2">#REF!</definedName>
    <definedName name="Start20" localSheetId="0">#REF!</definedName>
    <definedName name="Start20">#REF!</definedName>
    <definedName name="Start21" localSheetId="0">#REF!</definedName>
    <definedName name="Start21">#REF!</definedName>
    <definedName name="Start22" localSheetId="0">#REF!</definedName>
    <definedName name="Start22">#REF!</definedName>
    <definedName name="Start23" localSheetId="0">#REF!</definedName>
    <definedName name="Start23">#REF!</definedName>
    <definedName name="Start24" localSheetId="0">#REF!</definedName>
    <definedName name="Start24">#REF!</definedName>
    <definedName name="Start25" localSheetId="0">#REF!</definedName>
    <definedName name="Start25">#REF!</definedName>
    <definedName name="Start26" localSheetId="0">#REF!</definedName>
    <definedName name="Start26">#REF!</definedName>
    <definedName name="Start27" localSheetId="0">#REF!</definedName>
    <definedName name="Start27">#REF!</definedName>
    <definedName name="Start28" localSheetId="0">#REF!</definedName>
    <definedName name="Start28">#REF!</definedName>
    <definedName name="Start29" localSheetId="0">#REF!</definedName>
    <definedName name="Start29">#REF!</definedName>
    <definedName name="Start3" localSheetId="0">#REF!</definedName>
    <definedName name="Start3">#REF!</definedName>
    <definedName name="Start30" localSheetId="0">#REF!</definedName>
    <definedName name="Start30">#REF!</definedName>
    <definedName name="Start31" localSheetId="0">#REF!</definedName>
    <definedName name="Start31">#REF!</definedName>
    <definedName name="Start32" localSheetId="0">#REF!</definedName>
    <definedName name="Start32">#REF!</definedName>
    <definedName name="Start33" localSheetId="0">#REF!</definedName>
    <definedName name="Start33">#REF!</definedName>
    <definedName name="Start34" localSheetId="0">#REF!</definedName>
    <definedName name="Start34">#REF!</definedName>
    <definedName name="Start35" localSheetId="0">#REF!</definedName>
    <definedName name="Start35">#REF!</definedName>
    <definedName name="Start36" localSheetId="0">#REF!</definedName>
    <definedName name="Start36">#REF!</definedName>
    <definedName name="Start37" localSheetId="0">#REF!</definedName>
    <definedName name="Start37">#REF!</definedName>
    <definedName name="Start38" localSheetId="0">#REF!</definedName>
    <definedName name="Start38">#REF!</definedName>
    <definedName name="Start39" localSheetId="0">#REF!</definedName>
    <definedName name="Start39">#REF!</definedName>
    <definedName name="Start4" localSheetId="0">#REF!</definedName>
    <definedName name="Start4">#REF!</definedName>
    <definedName name="Start40" localSheetId="0">#REF!</definedName>
    <definedName name="Start40">#REF!</definedName>
    <definedName name="Start41" localSheetId="0">#REF!</definedName>
    <definedName name="Start41">#REF!</definedName>
    <definedName name="Start42" localSheetId="0">#REF!</definedName>
    <definedName name="Start42">#REF!</definedName>
    <definedName name="Start43" localSheetId="0">#REF!</definedName>
    <definedName name="Start43">#REF!</definedName>
    <definedName name="Start44" localSheetId="0">#REF!</definedName>
    <definedName name="Start44">#REF!</definedName>
    <definedName name="Start45" localSheetId="0">#REF!</definedName>
    <definedName name="Start45">#REF!</definedName>
    <definedName name="Start46" localSheetId="0">#REF!</definedName>
    <definedName name="Start46">#REF!</definedName>
    <definedName name="Start47" localSheetId="0">#REF!</definedName>
    <definedName name="Start47">#REF!</definedName>
    <definedName name="Start5" localSheetId="0">#REF!</definedName>
    <definedName name="Start5">#REF!</definedName>
    <definedName name="Start6" localSheetId="0">#REF!</definedName>
    <definedName name="Start6">#REF!</definedName>
    <definedName name="Start7" localSheetId="0">#REF!</definedName>
    <definedName name="Start7">#REF!</definedName>
    <definedName name="w">#REF!</definedName>
    <definedName name="werwer">#REF!</definedName>
    <definedName name="www">#REF!</definedName>
    <definedName name="xc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2" l="1"/>
  <c r="C32" i="2" l="1"/>
  <c r="K23" i="3" s="1"/>
  <c r="M22" i="6" l="1"/>
  <c r="M21" i="6"/>
  <c r="K22" i="6"/>
  <c r="V20" i="6" s="1"/>
  <c r="P22" i="6"/>
  <c r="W21" i="6" s="1"/>
  <c r="O22" i="6"/>
  <c r="V21" i="6" s="1"/>
  <c r="L22" i="6"/>
  <c r="N21" i="6"/>
  <c r="P21" i="6"/>
  <c r="T21" i="6" s="1"/>
  <c r="O21" i="6"/>
  <c r="S21" i="6" s="1"/>
  <c r="L21" i="6"/>
  <c r="T20" i="6" s="1"/>
  <c r="K21" i="6"/>
  <c r="N20" i="6"/>
  <c r="M20" i="6"/>
  <c r="P20" i="6"/>
  <c r="Z18" i="6" s="1"/>
  <c r="O20" i="6"/>
  <c r="Y18" i="6" s="1"/>
  <c r="L20" i="6"/>
  <c r="K20" i="6"/>
  <c r="N19" i="6"/>
  <c r="M19" i="6"/>
  <c r="P19" i="6"/>
  <c r="W18" i="6" s="1"/>
  <c r="O19" i="6"/>
  <c r="V18" i="6" s="1"/>
  <c r="L19" i="6"/>
  <c r="K19" i="6"/>
  <c r="N18" i="6"/>
  <c r="M18" i="6"/>
  <c r="P18" i="6"/>
  <c r="T18" i="6" s="1"/>
  <c r="O18" i="6"/>
  <c r="S18" i="6" s="1"/>
  <c r="L18" i="6"/>
  <c r="K18" i="6"/>
  <c r="N17" i="6"/>
  <c r="M17" i="6"/>
  <c r="P17" i="6"/>
  <c r="Z15" i="6" s="1"/>
  <c r="O17" i="6"/>
  <c r="Y15" i="6" s="1"/>
  <c r="L17" i="6"/>
  <c r="K17" i="6"/>
  <c r="N16" i="6"/>
  <c r="M16" i="6"/>
  <c r="P16" i="6"/>
  <c r="W15" i="6" s="1"/>
  <c r="O16" i="6"/>
  <c r="V15" i="6" s="1"/>
  <c r="L16" i="6"/>
  <c r="K16" i="6"/>
  <c r="M15" i="6"/>
  <c r="P15" i="6"/>
  <c r="T15" i="6" s="1"/>
  <c r="O15" i="6"/>
  <c r="S15" i="6" s="1"/>
  <c r="L15" i="6"/>
  <c r="K15" i="6"/>
  <c r="N14" i="6"/>
  <c r="M14" i="6"/>
  <c r="P14" i="6"/>
  <c r="Z12" i="6" s="1"/>
  <c r="O14" i="6"/>
  <c r="Y12" i="6" s="1"/>
  <c r="L14" i="6"/>
  <c r="K14" i="6"/>
  <c r="N13" i="6"/>
  <c r="M13" i="6"/>
  <c r="P13" i="6"/>
  <c r="W12" i="6" s="1"/>
  <c r="O13" i="6"/>
  <c r="V12" i="6" s="1"/>
  <c r="L13" i="6"/>
  <c r="K13" i="6"/>
  <c r="N12" i="6"/>
  <c r="M12" i="6"/>
  <c r="P12" i="6"/>
  <c r="T12" i="6" s="1"/>
  <c r="O12" i="6"/>
  <c r="S12" i="6" s="1"/>
  <c r="L12" i="6"/>
  <c r="K12" i="6"/>
  <c r="M11" i="6"/>
  <c r="P11" i="6"/>
  <c r="Z9" i="6" s="1"/>
  <c r="O11" i="6"/>
  <c r="Y9" i="6" s="1"/>
  <c r="L11" i="6"/>
  <c r="K11" i="6"/>
  <c r="N10" i="6"/>
  <c r="M10" i="6"/>
  <c r="P10" i="6"/>
  <c r="W9" i="6" s="1"/>
  <c r="O10" i="6"/>
  <c r="V9" i="6" s="1"/>
  <c r="L10" i="6"/>
  <c r="W8" i="6" s="1"/>
  <c r="K10" i="6"/>
  <c r="V8" i="6" s="1"/>
  <c r="N9" i="6"/>
  <c r="P9" i="6"/>
  <c r="T9" i="6" s="1"/>
  <c r="O9" i="6"/>
  <c r="S9" i="6" s="1"/>
  <c r="L9" i="6"/>
  <c r="T8" i="6" s="1"/>
  <c r="K9" i="6"/>
  <c r="N8" i="6"/>
  <c r="M8" i="6"/>
  <c r="O8" i="6"/>
  <c r="Y6" i="6" s="1"/>
  <c r="P8" i="6"/>
  <c r="Z6" i="6" s="1"/>
  <c r="L8" i="6"/>
  <c r="Z5" i="6" s="1"/>
  <c r="K8" i="6"/>
  <c r="N7" i="6"/>
  <c r="P7" i="6"/>
  <c r="W6" i="6" s="1"/>
  <c r="O7" i="6"/>
  <c r="V6" i="6" s="1"/>
  <c r="L7" i="6"/>
  <c r="G15" i="2" s="1"/>
  <c r="K7" i="6"/>
  <c r="M6" i="6"/>
  <c r="P6" i="6"/>
  <c r="T6" i="6" s="1"/>
  <c r="O6" i="6"/>
  <c r="S6" i="6" s="1"/>
  <c r="L6" i="6"/>
  <c r="K6" i="6"/>
  <c r="N5" i="6"/>
  <c r="P5" i="6"/>
  <c r="Z3" i="6" s="1"/>
  <c r="O5" i="6"/>
  <c r="Y3" i="6" s="1"/>
  <c r="L5" i="6"/>
  <c r="K5" i="6"/>
  <c r="M4" i="6"/>
  <c r="M3" i="6"/>
  <c r="P4" i="6"/>
  <c r="W3" i="6" s="1"/>
  <c r="O4" i="6"/>
  <c r="V3" i="6" s="1"/>
  <c r="L4" i="6"/>
  <c r="K4" i="6"/>
  <c r="P3" i="6"/>
  <c r="T3" i="6" s="1"/>
  <c r="O3" i="6"/>
  <c r="S3" i="6" s="1"/>
  <c r="L3" i="6"/>
  <c r="K3" i="6"/>
  <c r="S2" i="6" s="1"/>
  <c r="M5" i="6" l="1"/>
  <c r="Y2" i="6"/>
  <c r="T2" i="6"/>
  <c r="N3" i="6"/>
  <c r="N4" i="6"/>
  <c r="W2" i="6"/>
  <c r="G11" i="2"/>
  <c r="Z2" i="6"/>
  <c r="S5" i="6"/>
  <c r="F13" i="2"/>
  <c r="F14" i="2" s="1"/>
  <c r="F12" i="2" s="1"/>
  <c r="G13" i="2"/>
  <c r="G14" i="2" s="1"/>
  <c r="G12" i="2" s="1"/>
  <c r="T5" i="6"/>
  <c r="N6" i="6"/>
  <c r="F15" i="2"/>
  <c r="V5" i="6"/>
  <c r="M7" i="6"/>
  <c r="F16" i="2"/>
  <c r="Y5" i="6"/>
  <c r="S8" i="6"/>
  <c r="F17" i="2"/>
  <c r="G18" i="2"/>
  <c r="F19" i="2"/>
  <c r="Y8" i="6"/>
  <c r="Z8" i="6"/>
  <c r="G19" i="2"/>
  <c r="N11" i="6"/>
  <c r="F26" i="2"/>
  <c r="S11" i="6"/>
  <c r="G26" i="2"/>
  <c r="T11" i="6"/>
  <c r="F27" i="2"/>
  <c r="F33" i="2" s="1"/>
  <c r="V11" i="6"/>
  <c r="G27" i="2"/>
  <c r="G33" i="2" s="1"/>
  <c r="W11" i="6"/>
  <c r="F28" i="2"/>
  <c r="Y11" i="6"/>
  <c r="G28" i="2"/>
  <c r="Z11" i="6"/>
  <c r="F29" i="2"/>
  <c r="S14" i="6"/>
  <c r="G29" i="2"/>
  <c r="T14" i="6"/>
  <c r="N15" i="6"/>
  <c r="F30" i="2"/>
  <c r="V14" i="6"/>
  <c r="G30" i="2"/>
  <c r="W14" i="6"/>
  <c r="Y14" i="6"/>
  <c r="Z14" i="6"/>
  <c r="S17" i="6"/>
  <c r="T17" i="6"/>
  <c r="F34" i="2"/>
  <c r="V17" i="6"/>
  <c r="G34" i="2"/>
  <c r="W17" i="6"/>
  <c r="F20" i="2"/>
  <c r="Y17" i="6"/>
  <c r="G20" i="2"/>
  <c r="Z17" i="6"/>
  <c r="S20" i="6"/>
  <c r="N22" i="6"/>
  <c r="W20" i="6"/>
  <c r="V2" i="6"/>
  <c r="F11" i="2"/>
  <c r="W5" i="6"/>
  <c r="F18" i="2"/>
  <c r="G17" i="2"/>
  <c r="F8" i="2"/>
  <c r="M9" i="6"/>
  <c r="G8" i="2"/>
  <c r="G16" i="2"/>
  <c r="F32" i="2" l="1"/>
  <c r="G32" i="2"/>
  <c r="C37" i="2"/>
  <c r="G37" i="2" l="1"/>
  <c r="F37" i="2"/>
  <c r="F35" i="3" l="1"/>
  <c r="C38" i="2" l="1"/>
  <c r="N5" i="3"/>
  <c r="N4" i="3"/>
  <c r="F38" i="2" l="1"/>
  <c r="G38" i="2"/>
  <c r="K30" i="3" l="1"/>
  <c r="K29" i="3"/>
  <c r="K26" i="3"/>
  <c r="K25" i="3"/>
  <c r="K24" i="3"/>
  <c r="K22" i="3"/>
  <c r="K21" i="3"/>
  <c r="K20" i="3"/>
  <c r="K19" i="3"/>
  <c r="K18" i="3"/>
  <c r="K14" i="3"/>
  <c r="K13" i="3"/>
  <c r="K12" i="3"/>
  <c r="K11" i="3"/>
  <c r="K10" i="3"/>
  <c r="K8" i="3"/>
  <c r="K6" i="3"/>
  <c r="K3" i="3"/>
  <c r="G30" i="3"/>
  <c r="G29" i="3"/>
  <c r="G28" i="3"/>
  <c r="G27" i="3"/>
  <c r="G26" i="3"/>
  <c r="G25" i="3"/>
  <c r="G24" i="3"/>
  <c r="G19" i="3"/>
  <c r="G18" i="3"/>
  <c r="G20" i="3"/>
  <c r="G23" i="3"/>
  <c r="G22" i="3"/>
  <c r="G21" i="3"/>
  <c r="G14" i="3"/>
  <c r="G13" i="3"/>
  <c r="G12" i="3"/>
  <c r="G11" i="3"/>
  <c r="G10" i="3"/>
  <c r="G9" i="3"/>
  <c r="G8" i="3"/>
  <c r="G7" i="3"/>
  <c r="G6" i="3"/>
  <c r="G5" i="3"/>
  <c r="G4" i="3"/>
  <c r="G3" i="3"/>
  <c r="E30" i="3"/>
  <c r="E29" i="3"/>
  <c r="E28" i="3"/>
  <c r="E27" i="3"/>
  <c r="E26" i="3"/>
  <c r="E25" i="3"/>
  <c r="E24" i="3"/>
  <c r="E23" i="3"/>
  <c r="E22" i="3"/>
  <c r="E21" i="3"/>
  <c r="E20" i="3"/>
  <c r="E19" i="3"/>
  <c r="E18" i="3"/>
  <c r="E14" i="3"/>
  <c r="E13" i="3"/>
  <c r="E12" i="3"/>
  <c r="E11" i="3"/>
  <c r="E10" i="3"/>
  <c r="E9" i="3"/>
  <c r="E8" i="3"/>
  <c r="E7" i="3"/>
  <c r="E6" i="3"/>
  <c r="E5" i="3"/>
  <c r="E4" i="3"/>
  <c r="E3" i="3"/>
  <c r="L26" i="3" l="1"/>
  <c r="L11" i="3"/>
  <c r="M11" i="3" s="1"/>
  <c r="L22" i="3"/>
  <c r="M22" i="3" s="1"/>
  <c r="E30" i="2" s="1"/>
  <c r="L30" i="3"/>
  <c r="M30" i="3" s="1"/>
  <c r="L20" i="3"/>
  <c r="D28" i="2" s="1"/>
  <c r="L10" i="3"/>
  <c r="L21" i="3"/>
  <c r="D29" i="2" s="1"/>
  <c r="L29" i="3"/>
  <c r="M29" i="3" s="1"/>
  <c r="L12" i="3"/>
  <c r="L23" i="3"/>
  <c r="L13" i="3"/>
  <c r="M13" i="3" s="1"/>
  <c r="E18" i="2" s="1"/>
  <c r="L24" i="3"/>
  <c r="L6" i="3"/>
  <c r="M6" i="3" s="1"/>
  <c r="L14" i="3"/>
  <c r="M14" i="3" s="1"/>
  <c r="E19" i="2" s="1"/>
  <c r="L25" i="3"/>
  <c r="D34" i="2" s="1"/>
  <c r="L18" i="3"/>
  <c r="M18" i="3" s="1"/>
  <c r="E26" i="2" s="1"/>
  <c r="L8" i="3"/>
  <c r="M8" i="3" s="1"/>
  <c r="L19" i="3"/>
  <c r="M19" i="3" s="1"/>
  <c r="E27" i="2" s="1"/>
  <c r="E33" i="2" s="1"/>
  <c r="L3" i="3"/>
  <c r="C14" i="2"/>
  <c r="C12" i="2" s="1"/>
  <c r="C9" i="2"/>
  <c r="M12" i="3" l="1"/>
  <c r="E17" i="2" s="1"/>
  <c r="D30" i="2"/>
  <c r="H30" i="2" s="1"/>
  <c r="M3" i="3"/>
  <c r="E8" i="2" s="1"/>
  <c r="D15" i="2"/>
  <c r="H15" i="2" s="1"/>
  <c r="M10" i="3"/>
  <c r="E15" i="2" s="1"/>
  <c r="D16" i="2"/>
  <c r="H16" i="2" s="1"/>
  <c r="E16" i="2"/>
  <c r="M24" i="3"/>
  <c r="D18" i="2"/>
  <c r="I18" i="2" s="1"/>
  <c r="M20" i="3"/>
  <c r="E28" i="2" s="1"/>
  <c r="E32" i="2" s="1"/>
  <c r="D19" i="2"/>
  <c r="I19" i="2" s="1"/>
  <c r="D26" i="2"/>
  <c r="M21" i="3"/>
  <c r="E29" i="2" s="1"/>
  <c r="M25" i="3"/>
  <c r="E34" i="2" s="1"/>
  <c r="M23" i="3"/>
  <c r="K4" i="3"/>
  <c r="L4" i="3" s="1"/>
  <c r="G9" i="2"/>
  <c r="F9" i="2"/>
  <c r="C25" i="2"/>
  <c r="C35" i="2"/>
  <c r="K27" i="3" s="1"/>
  <c r="L27" i="3" s="1"/>
  <c r="M27" i="3" s="1"/>
  <c r="C36" i="2"/>
  <c r="K28" i="3" s="1"/>
  <c r="L28" i="3" s="1"/>
  <c r="M28" i="3" s="1"/>
  <c r="I29" i="2"/>
  <c r="H29" i="2"/>
  <c r="I28" i="2"/>
  <c r="H28" i="2"/>
  <c r="I34" i="2"/>
  <c r="H34" i="2"/>
  <c r="D13" i="2"/>
  <c r="D20" i="2"/>
  <c r="M26" i="3"/>
  <c r="D11" i="2"/>
  <c r="K7" i="3"/>
  <c r="L7" i="3" s="1"/>
  <c r="M7" i="3" s="1"/>
  <c r="K9" i="3"/>
  <c r="L9" i="3" s="1"/>
  <c r="M9" i="3" s="1"/>
  <c r="D17" i="2"/>
  <c r="D27" i="2"/>
  <c r="D33" i="2" s="1"/>
  <c r="D8" i="2"/>
  <c r="D38" i="2" s="1"/>
  <c r="C10" i="2"/>
  <c r="K5" i="3" s="1"/>
  <c r="L5" i="3" s="1"/>
  <c r="M5" i="3" s="1"/>
  <c r="I30" i="2" l="1"/>
  <c r="H26" i="2"/>
  <c r="H32" i="2" s="1"/>
  <c r="D32" i="2"/>
  <c r="I15" i="2"/>
  <c r="I16" i="2"/>
  <c r="H18" i="2"/>
  <c r="M4" i="3"/>
  <c r="D9" i="2"/>
  <c r="H19" i="2"/>
  <c r="I26" i="2"/>
  <c r="I32" i="2" s="1"/>
  <c r="E25" i="2"/>
  <c r="H8" i="2"/>
  <c r="I8" i="2"/>
  <c r="D37" i="2"/>
  <c r="I27" i="2"/>
  <c r="I33" i="2" s="1"/>
  <c r="H27" i="2"/>
  <c r="H33" i="2" s="1"/>
  <c r="I17" i="2"/>
  <c r="H17" i="2"/>
  <c r="E11" i="2"/>
  <c r="I11" i="2"/>
  <c r="H11" i="2"/>
  <c r="E13" i="2"/>
  <c r="I13" i="2"/>
  <c r="H13" i="2"/>
  <c r="F10" i="2"/>
  <c r="F25" i="2"/>
  <c r="F35" i="2"/>
  <c r="F36" i="2"/>
  <c r="G10" i="2"/>
  <c r="G25" i="2"/>
  <c r="G35" i="2"/>
  <c r="G36" i="2"/>
  <c r="D14" i="2"/>
  <c r="D10" i="2"/>
  <c r="H9" i="2" l="1"/>
  <c r="I9" i="2"/>
  <c r="D25" i="2"/>
  <c r="H14" i="2"/>
  <c r="H12" i="2" s="1"/>
  <c r="I14" i="2"/>
  <c r="I12" i="2" s="1"/>
  <c r="E38" i="2"/>
  <c r="E36" i="2" s="1"/>
  <c r="H38" i="2"/>
  <c r="I38" i="2"/>
  <c r="D36" i="2"/>
  <c r="E37" i="2"/>
  <c r="E35" i="2" s="1"/>
  <c r="I37" i="2"/>
  <c r="H37" i="2"/>
  <c r="D35" i="2"/>
  <c r="E14" i="2"/>
  <c r="E12" i="2" s="1"/>
  <c r="D12" i="2"/>
  <c r="I35" i="2" l="1"/>
  <c r="H36" i="2"/>
  <c r="I36" i="2"/>
  <c r="H35" i="2"/>
  <c r="I10" i="2"/>
  <c r="I25" i="2"/>
  <c r="H10" i="2"/>
  <c r="H25" i="2"/>
</calcChain>
</file>

<file path=xl/sharedStrings.xml><?xml version="1.0" encoding="utf-8"?>
<sst xmlns="http://schemas.openxmlformats.org/spreadsheetml/2006/main" count="410" uniqueCount="234">
  <si>
    <t>2020 (Uncertainty)</t>
  </si>
  <si>
    <t>2050 (Uncertainty)</t>
  </si>
  <si>
    <t>Exchange ratio 2020</t>
  </si>
  <si>
    <t>Exchange ratio 2030</t>
  </si>
  <si>
    <t>Exchange ratio 2050</t>
  </si>
  <si>
    <t>Year</t>
  </si>
  <si>
    <t>Lower (%)</t>
  </si>
  <si>
    <t>Upper (%)</t>
  </si>
  <si>
    <t>Technical Data</t>
  </si>
  <si>
    <t>Lower</t>
  </si>
  <si>
    <t>Upper</t>
  </si>
  <si>
    <t>Reference</t>
  </si>
  <si>
    <t xml:space="preserve">Lifetime in Total Number of Cycles </t>
  </si>
  <si>
    <t>Technology</t>
  </si>
  <si>
    <t>Lithium-ion NMC battery (Utility-scale, Samsung SDI E3-R135)</t>
  </si>
  <si>
    <t>Uncertainty (2020)</t>
  </si>
  <si>
    <t>Note</t>
  </si>
  <si>
    <t>Ref</t>
  </si>
  <si>
    <t>Energy/technical data</t>
  </si>
  <si>
    <t>Form of energy stored</t>
  </si>
  <si>
    <t>Electrochemical</t>
  </si>
  <si>
    <t>Application</t>
  </si>
  <si>
    <t>System, energy-intensive (2 h)</t>
  </si>
  <si>
    <t>Energy storage capacity for one unit (MWh)</t>
  </si>
  <si>
    <t>A</t>
  </si>
  <si>
    <t>Output capacity for one unit (MW)</t>
  </si>
  <si>
    <t>Input capacity for one unit (MW)</t>
  </si>
  <si>
    <t>Round trip efficiency (%) AC</t>
  </si>
  <si>
    <t>B</t>
  </si>
  <si>
    <t>Round trip efficiency (%) DC</t>
  </si>
  <si>
    <t>C</t>
  </si>
  <si>
    <t>[1]</t>
  </si>
  <si>
    <t>- Discharge efficiency (%)</t>
  </si>
  <si>
    <t>Energy losses during storage (%/day)</t>
  </si>
  <si>
    <t>D</t>
  </si>
  <si>
    <t>Forced outage (%)</t>
  </si>
  <si>
    <t>E</t>
  </si>
  <si>
    <t>Planned outage (weeks per year)</t>
  </si>
  <si>
    <t>Technical lifetime (years)</t>
  </si>
  <si>
    <t>F</t>
  </si>
  <si>
    <t>Construction time (years)</t>
  </si>
  <si>
    <t>[11]</t>
  </si>
  <si>
    <t>Regulation ability</t>
  </si>
  <si>
    <t>Response time from idle to full-rated discharge (sec)</t>
  </si>
  <si>
    <t>&lt;0.08</t>
  </si>
  <si>
    <t>G</t>
  </si>
  <si>
    <t>[19]</t>
  </si>
  <si>
    <t>Response time from full-rated charge to full-rated discharge (sec)</t>
  </si>
  <si>
    <t>Financial data</t>
  </si>
  <si>
    <t>H</t>
  </si>
  <si>
    <t>- energy component (MUSD/MWh)</t>
  </si>
  <si>
    <t>[14]</t>
  </si>
  <si>
    <t>- capacity component (MUSD/MW) PCS</t>
  </si>
  <si>
    <t>[23]</t>
  </si>
  <si>
    <t>- other project costs (MUSD/MWh)</t>
  </si>
  <si>
    <t>J</t>
  </si>
  <si>
    <t>K</t>
  </si>
  <si>
    <t>Variable O&amp;M (USD2020/MWh)</t>
  </si>
  <si>
    <t>L</t>
  </si>
  <si>
    <t>[21]</t>
  </si>
  <si>
    <t>Technology specific data</t>
  </si>
  <si>
    <t>M</t>
  </si>
  <si>
    <t>N</t>
  </si>
  <si>
    <t>[20-22]</t>
  </si>
  <si>
    <t>O</t>
  </si>
  <si>
    <t>Lifetime in total number of cycles</t>
  </si>
  <si>
    <t>P</t>
  </si>
  <si>
    <t>Specific power (W/kg)</t>
  </si>
  <si>
    <t>Q</t>
  </si>
  <si>
    <t>Power density (kW/m3)</t>
  </si>
  <si>
    <t>Specific energy (Wh/kg)</t>
  </si>
  <si>
    <t>Energy density (kWh/m3)</t>
  </si>
  <si>
    <t>Notes</t>
  </si>
  <si>
    <t>References</t>
  </si>
  <si>
    <t>Samsung. ESS Batteries by Samsung SDI Top Safety &amp; Reliability Solutions, (2018). http://www.samsungsdi.com/upload/ess_brochure/201809_SamsungSDI ESS_EN.pdf</t>
  </si>
  <si>
    <t>L. Kokam Co. Total Energy Storage Solution Provider, (2018). http://kokam.com/data/2018_Kokam_ESS_Brochure_ver_5.0.pdf</t>
  </si>
  <si>
    <t>L. Kokam Co. Kokam Li-ion / Polymer Cell, (2017).  http://kokam.com/data/Kokam_Cell_Brochure_V.4.pdf</t>
  </si>
  <si>
    <t>StoraXe. StoraXe Industrial &amp; Infrastructure Scalable battery storage system, (2018). https://www.ads-tec.de/fileadmin/download/doc/brochure/Datasheet_Energy_Industrial_EN.pdf</t>
  </si>
  <si>
    <t>Altairnano. 24 V 60 Ah Battery Module, (2016). https://altairnano.com/products/battery-module/</t>
  </si>
  <si>
    <t>Samsung, Smart Battery Systems for Energy Storage, (2016). http://www.samsungsdi.com/upload/ess_brochure/Samsung SDI brochure_EN.pdf</t>
  </si>
  <si>
    <t>Electropaedia. Battery Performance Characteristics - How to specify and test a battery, (2018). https://www.mpoweruk.com/performance.htm</t>
  </si>
  <si>
    <t>A.H. Fathima, K. Palanisamy. Renewable systems and energy storages for hybrid systems, Ed(s): A. Hina Fathima, et al., in  Hybrid-renewable energy systems in microgrids. Woodhead Publishing (2018), pp. 162. https://doi.org/10.1016/B978-0-08-102493-5.00008-X</t>
  </si>
  <si>
    <t xml:space="preserve">Lazard. Levelized Cost of Storage (2017)., https://www.lazard.com/perspective/levelized-cost-of-storage-2017/ </t>
  </si>
  <si>
    <t>LG Chem. Change your energy. Change your life., (2018). http://www.lgchem.com/upload/file/product/LGChem_Catalog_Global_2018.pdf</t>
  </si>
  <si>
    <t>Tesla. Addressing Peak Energy Demand with the Tesla Powerpack, (2016). https://www.tesla.com/da_DK/blog/addressing-peak-energy-demand-tesla-powerpack?redirect=no</t>
  </si>
  <si>
    <t>Tesla. Tesla Powerpack to Enable Large Scale Sustainable Energy to South Australia, (2017). https://www.tesla.com/da_DK/blog/Tesla-powerpack-enable-large-scale-sustainable-energy-south-australia?redirect=no Page</t>
  </si>
  <si>
    <t>Energy Storage Association. Frequency Regulation Services and a Firm Wind Product: AES Energy Storage Laurel Mountain Battery Energy Storage, (2018). http://energystorage.org/energy-storage/case-studies/frequency-regulation-services-and-firm-wind-product-aes-energy-storage</t>
  </si>
  <si>
    <t>Bloomberg New Energy Finance. New Energy Outlook 2018, (2018). https://bnef.turtl.co/story/neo2018.pdf?autoprint=true&amp;teaser=true</t>
  </si>
  <si>
    <t>International Renewable Energy Agency. IRENA Battery Storage Report, (2015). http://www.irena.org/-/media/Files/IRENA/Agency/Publication/2015/IRENA_Battery_Storage_report_2015.pdf</t>
  </si>
  <si>
    <t>International Renewable Energy Agency. Electricity Storage and Renewables : Costs and Markets To 2030, (2017). http://www.irena.org/publications/2017/Oct/Electricity-storage-and-renewables-costs-and-markets</t>
  </si>
  <si>
    <t>Danish Technological Institute. BESS project Smart grid ready Battery Energy Storage System for future grid, (2017). https://www.energiforskning.dk/sites/energiteknologi.dk/files/slutrapporter/bess_final_report_forskel_10731.pdf</t>
  </si>
  <si>
    <t>H. Chen, T.N. Cong, W. Yang, C. Tan, Y. Li, Y. Ding, Progress in electrical energy storage system: A critical review, Prog. Nat. Sci. 19 (2009) 291–312. doi:10.1016/j.pnsc.2008.07.014</t>
  </si>
  <si>
    <t>D.M. Greenwood, K.Y. Lim, C. Patsios, P.F. Lyons, Y.S. Lim, P.C. Taylor, Frequency response services designed for energy storage, Appl. Energy. 203 (2017) 115–127. doi:10.1016/j.apenergy.2017.06.046</t>
  </si>
  <si>
    <t>R. Benato, G. Bruno, F. Palone, R.M. Polito, M. Rebolini, Large-scale electrochemical energy storage in high voltage grids: Overview of the Italian experience, Energies. 10 (2017) 1-17. doi:10.3390/en10010108</t>
  </si>
  <si>
    <t>B. Zakeri, S. Syri, Electrical energy storage systems: A comparative life cycle cost analysis, Renew. Sustain. Energy Rev. 42 (2015) 569–596. doi:10.1016/j.rser.2014.10.011</t>
  </si>
  <si>
    <t>G. Huff, A.B. Currier, B.C. Kaun, D.M. Rastler, S.B. Chen, D.T. Bradshaw, W.D. Gauntlett, DOE/EPRI electricity storage handbook in collaboration with NRECA, (2015). https://www.sandia.gov/ess-ssl/publications/SAND2015-1002.pdf</t>
  </si>
  <si>
    <t>Danish Energy Agency. (2019). Technogy Data for Energy Storage. Copenhagen, Denmark. Retrieved from https://ens.dk/sites/ens.dk/files/Analyser/technology_data_catalogue_for_energy_storage.pdf</t>
  </si>
  <si>
    <t>Exchange ratio between the years 2030 and 2020</t>
  </si>
  <si>
    <t>Exchange ratio between the years 2050 and 2030</t>
  </si>
  <si>
    <t>20-30 (%)</t>
  </si>
  <si>
    <t>30-50 (%)</t>
  </si>
  <si>
    <t>C-rate</t>
  </si>
  <si>
    <t>&lt;0,08</t>
  </si>
  <si>
    <t>Weight:</t>
  </si>
  <si>
    <t>Volume:</t>
  </si>
  <si>
    <t>Energy:</t>
  </si>
  <si>
    <t>m [W]</t>
  </si>
  <si>
    <t>m³</t>
  </si>
  <si>
    <t>kWh</t>
  </si>
  <si>
    <t>m [D]</t>
  </si>
  <si>
    <t>m [H]</t>
  </si>
  <si>
    <t>From [1]:</t>
  </si>
  <si>
    <t>[24]</t>
  </si>
  <si>
    <t>Fixed O&amp;M (kUSD2020/MW/year)</t>
  </si>
  <si>
    <t>NOTE</t>
  </si>
  <si>
    <t>ABB</t>
  </si>
  <si>
    <t>ESC</t>
  </si>
  <si>
    <t>OCO</t>
  </si>
  <si>
    <t>RTE</t>
  </si>
  <si>
    <t>CE</t>
  </si>
  <si>
    <t>ELS</t>
  </si>
  <si>
    <t>FO</t>
  </si>
  <si>
    <t>PO</t>
  </si>
  <si>
    <t>TL</t>
  </si>
  <si>
    <t>CT</t>
  </si>
  <si>
    <t>EC</t>
  </si>
  <si>
    <t>CC</t>
  </si>
  <si>
    <t>OPC</t>
  </si>
  <si>
    <t>FOM</t>
  </si>
  <si>
    <t>VOM</t>
  </si>
  <si>
    <t>ESE</t>
  </si>
  <si>
    <t>OCE</t>
  </si>
  <si>
    <t>AIC</t>
  </si>
  <si>
    <t>LTN</t>
  </si>
  <si>
    <t>SE</t>
  </si>
  <si>
    <t>ED</t>
  </si>
  <si>
    <t>Schmidt, O., Melchior, S., Hawkes, A., &amp; Staffell, I. (2019). Projecting the Future Levelized Cost of Electricity Storage Technologies. Joule, 3(1), 81–100. https://doi.org/10.1016/j.joule.2018.12.008</t>
  </si>
  <si>
    <t>Prodecure followed to determine the projection</t>
  </si>
  <si>
    <t>1. The uncertainty is not available for this parameters, therefore it was repeated the data of 2020 and 2030</t>
  </si>
  <si>
    <t>Uncertainty (2030)</t>
  </si>
  <si>
    <r>
      <t>A.  One unit defined as a 40 feet container including LIB system and excluding power conversion system. Values for 2015-2030 are taken from Samsung SDI brochures for grid-connected LIBs from 2016 and 2018 [1,6]. This unit of 6MWh/3MW (0.5C) is a typical size grid scale battery for energy shift and peak shaving. The Specific investment cost under financial data is provided for a 1MWh : 0.5</t>
    </r>
    <r>
      <rPr>
        <sz val="10"/>
        <color theme="9"/>
        <rFont val="Montserrat Medium"/>
        <family val="3"/>
      </rPr>
      <t>MW (0.5C)</t>
    </r>
    <r>
      <rPr>
        <sz val="10"/>
        <color theme="1"/>
        <rFont val="Montserrat Medium"/>
        <family val="3"/>
      </rPr>
      <t xml:space="preserve"> battery. Cost examples of a 2MWh/8MW and a 16MWh/4MW battery are given in the section below. </t>
    </r>
  </si>
  <si>
    <t>B.   The AC roundtrip efficiency includes losses in the power electronics and is 2-4% lower than the DC roundtrip efficiency. The total roundtrip efficiency further includes standby losses making the total roundtrip efficiency typically ranging between 80% and 90% [8,9].</t>
  </si>
  <si>
    <t xml:space="preserve">C.  The C-rate is 0.5 during charge and can be up to 6 during discharge for the Samsung SDI batteries [1,6]. The presented conversion efficiencies assume average charge and discharge C-rates in 2015-2020 around 0.5. Higher C-rates during discharge will slightly decrease the efficiency. </t>
  </si>
  <si>
    <t>D.   Lithium-ion battery daily discharge loss. The central estimates for self-discharge of Li-ion batteries range between 0.05% and 0.20% a day in 2016 and are expected to stay flat to 2030.</t>
  </si>
  <si>
    <t xml:space="preserve">E.    It is expected not to have any outage during lifetime of the grid-connected LIB. Only a few days during the e.g. 15 years life time is needed for service and exchanging fans and blowers for thermal management system and power conversion system. Forced outage is expected to drop with increasing robustness following the learning rate and cumulated production. Planned outage is expected to decrease due to increased automation. </t>
  </si>
  <si>
    <t xml:space="preserve">F.  Current state-of-the-art NMC LIB has 20 years lifetime. The NMC lifetime is expected to have LTO lifetime by 2020 and 30 years lifetime for grid-connected LIBs in 2040 and 2050 as photovoltaic power systems have today [2,4,5,6]. </t>
  </si>
  <si>
    <t xml:space="preserve">G.  The response time is obtained from simulated response time experiments with hardware in the loop [19]. </t>
  </si>
  <si>
    <r>
      <t>H.     The system specific forecasts includes rack, TMS, BMS, EMS and PCS. The forecast is calculated as the sum of the PCS, the battery cell, and other costs. The system specific forecast is exclusive power cables to the site and entrepreneur work for installation of the containers [14,15].</t>
    </r>
    <r>
      <rPr>
        <sz val="10"/>
        <color rgb="FF1F497D"/>
        <rFont val="Montserrat Medium"/>
        <family val="3"/>
      </rPr>
      <t xml:space="preserve"> </t>
    </r>
    <r>
      <rPr>
        <sz val="10"/>
        <color theme="1"/>
        <rFont val="Montserrat Medium"/>
        <family val="3"/>
      </rPr>
      <t xml:space="preserve">The specific investment cost is the total cost of a 1MWh : 0.5MW (0.5C) battery.   </t>
    </r>
  </si>
  <si>
    <t xml:space="preserve">I.  Power conversion cost is strongly dependent on scalability and application. The PCS cost is based on references [20-22] and reflects the necessity for high power performance and compliance to grid codes to provide ancillary services, bidirectional electricity flow and two-stage conversion, as well as the early stage of development and the fact that few manufacturers can guarantee turnkey systems. Inverter replacement is expected every 10 years. The bidirectional inverter given here has more or less the same charge and discharge capacity (MW). </t>
  </si>
  <si>
    <r>
      <t xml:space="preserve">J.   Other costs include construction costs and entrepreneur work. These costs heavily dependent on location, substrate and site access. Power cables to the site and entrepreneur work for installation of the containers are included in other costs. Therefore other costs are assumed to – roughly – correlate with the system size. Automation is expected to decrease other costs from 2030 and onwards. </t>
    </r>
    <r>
      <rPr>
        <sz val="10"/>
        <color rgb="FFFF0000"/>
        <rFont val="Montserrat Medium"/>
        <family val="3"/>
      </rPr>
      <t>Estimates are aggregated from the literature [9,12,20]</t>
    </r>
    <r>
      <rPr>
        <sz val="10"/>
        <color theme="1"/>
        <rFont val="Montserrat Medium"/>
        <family val="3"/>
      </rPr>
      <t>.</t>
    </r>
  </si>
  <si>
    <t>K. Fixed O&amp;M is assumed to be constant, although the O&amp;M may depend on the application [9].</t>
  </si>
  <si>
    <t xml:space="preserve">L.  Variable O&amp;M is assumed to be 2.3 USD/MWh in 2015 with a range of 0.4 – 5.6 [21]. </t>
  </si>
  <si>
    <t>M.  Since multi-MWh LIB systems are scalar, the energy storage expansion cost is here estimated to be equal to the energy component plus the “other costs” [14,15].</t>
  </si>
  <si>
    <t>N.    Since multi-MW LIB systems are scalar, the capacity expansion cost equals the capacity component cost [20-22].</t>
  </si>
  <si>
    <t>O.  The alternative investment cost in MUSD2015/MW is specified for a 4C, 0.25 h system as for the Laurel Mountain, West Virginia, USA grid-scale LIB storage system [13]. I.e. the alternative investment cost is 25% of the energy storage expansion cost plus the PCS cost [13,14,15,20-22].</t>
  </si>
  <si>
    <t xml:space="preserve">P.   Cycle life specified as the number of cycles at 1C/1C to 80% state-of-health. Samsung SDI 2016 whitepaper on ESS solutions provide 15 year lifetime for current modules operating at C/2 to 3C [6]. Steady improvement in battery lifetime due to better materials and battery management is expected. Kokam ESS solutions are also rated at more than 8000-20000 cycles (80-90% DOD) based on chemistry [2]. Thus for daily full charge-discharge cycles, the batteries are designed to last for 15-50 years if supporting units are well functioning. Lifetimes are given for both graphite and LTO anode based commercial batteries from Kokam. Cycle lives are steadily increasing over last few years as reflected in 2020/2030 numbers [3,4,6]. </t>
  </si>
  <si>
    <t xml:space="preserve">Q.    Specific power, power density, Specific energy and energy density is provided for 0.5C reflecting the energy and power capacity in the datasheet. The expected development depends on the successive R&amp;D progress[1,10].  </t>
  </si>
  <si>
    <t>[1, 6]</t>
  </si>
  <si>
    <t>[2, 8, 9, 17]</t>
  </si>
  <si>
    <t>[7, 16, 18]</t>
  </si>
  <si>
    <t>[2, 4, 5, 6]</t>
  </si>
  <si>
    <t>[2-4, 6]</t>
  </si>
  <si>
    <t>[14, 15]</t>
  </si>
  <si>
    <t>[9, 12, 20]</t>
  </si>
  <si>
    <t>[13, 14, 15, 20-22]</t>
  </si>
  <si>
    <t>[1, 10]</t>
  </si>
  <si>
    <t>Exchange Rate  (USD/EUR)</t>
  </si>
  <si>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</si>
  <si>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</si>
  <si>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Input Capacity for One Unit</t>
    </r>
    <r>
      <rPr>
        <sz val="10"/>
        <color theme="1"/>
        <rFont val="Montserrat Medium"/>
        <family val="3"/>
      </rPr>
      <t xml:space="preserve"> (MW)</t>
    </r>
  </si>
  <si>
    <r>
      <t xml:space="preserve">Round Trip Efficiency </t>
    </r>
    <r>
      <rPr>
        <sz val="10"/>
        <color theme="1"/>
        <rFont val="Montserrat Medium"/>
        <family val="3"/>
      </rPr>
      <t>(%)</t>
    </r>
    <r>
      <rPr>
        <b/>
        <sz val="10"/>
        <color theme="1"/>
        <rFont val="Montserrat Medium"/>
        <family val="3"/>
      </rPr>
      <t xml:space="preserve"> AC</t>
    </r>
  </si>
  <si>
    <r>
      <t xml:space="preserve">Round Trip Efficiency </t>
    </r>
    <r>
      <rPr>
        <sz val="10"/>
        <color theme="1"/>
        <rFont val="Montserrat Medium"/>
        <family val="3"/>
      </rPr>
      <t>(%)</t>
    </r>
    <r>
      <rPr>
        <b/>
        <sz val="10"/>
        <color theme="1"/>
        <rFont val="Montserrat Medium"/>
        <family val="3"/>
      </rPr>
      <t xml:space="preserve"> DC</t>
    </r>
  </si>
  <si>
    <r>
      <t xml:space="preserve">Charge Efficiency </t>
    </r>
    <r>
      <rPr>
        <sz val="10"/>
        <color theme="1"/>
        <rFont val="Montserrat Medium"/>
        <family val="3"/>
      </rPr>
      <t>(%)</t>
    </r>
  </si>
  <si>
    <r>
      <t xml:space="preserve">Discharge Efficiency </t>
    </r>
    <r>
      <rPr>
        <sz val="10"/>
        <color theme="1"/>
        <rFont val="Montserrat Medium"/>
        <family val="3"/>
      </rPr>
      <t>(%)</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</si>
  <si>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</si>
  <si>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</si>
  <si>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</si>
  <si>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Technical Lifetime </t>
    </r>
    <r>
      <rPr>
        <sz val="10"/>
        <color theme="1"/>
        <rFont val="Montserrat Medium"/>
        <family val="3"/>
      </rPr>
      <t>(years)</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</si>
  <si>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</si>
  <si>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</si>
  <si>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</si>
  <si>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(MUSD2015 per MWh)</t>
    </r>
  </si>
  <si>
    <r>
      <t xml:space="preserve">Energy Component </t>
    </r>
    <r>
      <rPr>
        <sz val="10"/>
        <color theme="1"/>
        <rFont val="Montserrat Medium"/>
        <family val="3"/>
      </rPr>
      <t>(MUSD2015 per MWh)</t>
    </r>
  </si>
  <si>
    <r>
      <t xml:space="preserve">Capacity Component </t>
    </r>
    <r>
      <rPr>
        <sz val="10"/>
        <color theme="1"/>
        <rFont val="Montserrat Medium"/>
        <family val="3"/>
      </rPr>
      <t>(MUSD per MW)</t>
    </r>
  </si>
  <si>
    <r>
      <t xml:space="preserve">Other Project Costs </t>
    </r>
    <r>
      <rPr>
        <sz val="10"/>
        <color theme="1"/>
        <rFont val="Montserrat Medium"/>
        <family val="3"/>
      </rPr>
      <t>(ME/MWh)</t>
    </r>
  </si>
  <si>
    <r>
      <t xml:space="preserve">Fixed O&amp;M </t>
    </r>
    <r>
      <rPr>
        <sz val="10"/>
        <color theme="1"/>
        <rFont val="Montserrat Medium"/>
        <family val="3"/>
      </rPr>
      <t>(MUSD2020/MW/year)</t>
    </r>
  </si>
  <si>
    <r>
      <t xml:space="preserve">Variable O&amp;M </t>
    </r>
    <r>
      <rPr>
        <sz val="10"/>
        <color theme="1"/>
        <rFont val="Montserrat Medium"/>
        <family val="3"/>
      </rPr>
      <t>(MUSD2020/MW/year)</t>
    </r>
  </si>
  <si>
    <r>
      <t xml:space="preserve">Energy storage expansion cost </t>
    </r>
    <r>
      <rPr>
        <sz val="10"/>
        <color theme="1"/>
        <rFont val="Montserrat Medium"/>
        <family val="3"/>
      </rPr>
      <t>(M$2015/MWh)</t>
    </r>
  </si>
  <si>
    <r>
      <t xml:space="preserve">Output capacity expansion cost </t>
    </r>
    <r>
      <rPr>
        <sz val="10"/>
        <color theme="1"/>
        <rFont val="Montserrat Medium"/>
        <family val="3"/>
      </rPr>
      <t>(M$2015/MW)</t>
    </r>
  </si>
  <si>
    <r>
      <t xml:space="preserve">Alternative Investment cost </t>
    </r>
    <r>
      <rPr>
        <sz val="10"/>
        <color theme="1"/>
        <rFont val="Montserrat Medium"/>
        <family val="3"/>
      </rPr>
      <t>(M$2015/MW)</t>
    </r>
  </si>
  <si>
    <r>
      <t xml:space="preserve">Specific power </t>
    </r>
    <r>
      <rPr>
        <sz val="10"/>
        <color theme="1"/>
        <rFont val="Montserrat Medium"/>
        <family val="3"/>
      </rPr>
      <t>(W/kg)</t>
    </r>
  </si>
  <si>
    <r>
      <t xml:space="preserve">Projection in according with the exchange ratio </t>
    </r>
    <r>
      <rPr>
        <sz val="10"/>
        <color theme="1"/>
        <rFont val="Montserrat Medium"/>
        <family val="3"/>
      </rPr>
      <t>(2030-2020 and 2050-2030)</t>
    </r>
  </si>
  <si>
    <r>
      <t xml:space="preserve">Round Trip Efficiency </t>
    </r>
    <r>
      <rPr>
        <sz val="10"/>
        <color theme="1"/>
        <rFont val="Montserrat Medium"/>
        <family val="3"/>
      </rPr>
      <t>(%) AC</t>
    </r>
  </si>
  <si>
    <r>
      <t>Energy Component (</t>
    </r>
    <r>
      <rPr>
        <sz val="10"/>
        <color theme="1"/>
        <rFont val="Montserrat Medium"/>
        <family val="3"/>
      </rPr>
      <t>MUSD/MWh)</t>
    </r>
  </si>
  <si>
    <r>
      <t>Capacity Componenet (</t>
    </r>
    <r>
      <rPr>
        <sz val="10"/>
        <color theme="1"/>
        <rFont val="Montserrat Medium"/>
        <family val="3"/>
      </rPr>
      <t>MUSD/MW)</t>
    </r>
  </si>
  <si>
    <r>
      <t xml:space="preserve">Other Project Cost </t>
    </r>
    <r>
      <rPr>
        <sz val="10"/>
        <color theme="1"/>
        <rFont val="Montserrat Medium"/>
        <family val="3"/>
      </rPr>
      <t>(MUSD/MWh)</t>
    </r>
  </si>
  <si>
    <r>
      <t xml:space="preserve">Variable O&amp;M </t>
    </r>
    <r>
      <rPr>
        <sz val="10"/>
        <color theme="1"/>
        <rFont val="Montserrat Medium"/>
        <family val="3"/>
      </rPr>
      <t>(USD2020/MWh)</t>
    </r>
  </si>
  <si>
    <r>
      <t>Energy Storage Expansion Cost</t>
    </r>
    <r>
      <rPr>
        <sz val="10"/>
        <color theme="1"/>
        <rFont val="Montserrat Medium"/>
        <family val="3"/>
      </rPr>
      <t xml:space="preserve"> (MUSD2020/MWh)</t>
    </r>
  </si>
  <si>
    <r>
      <t xml:space="preserve">Output Capacity Expansion Cost </t>
    </r>
    <r>
      <rPr>
        <sz val="10"/>
        <color theme="1"/>
        <rFont val="Montserrat Medium"/>
        <family val="3"/>
      </rPr>
      <t>(MUSD2020/MW)</t>
    </r>
  </si>
  <si>
    <r>
      <t xml:space="preserve">Alternative Investment Cost </t>
    </r>
    <r>
      <rPr>
        <sz val="10"/>
        <color theme="1"/>
        <rFont val="Montserrat Medium"/>
        <family val="3"/>
      </rPr>
      <t>(MUSD2020/MW)</t>
    </r>
  </si>
  <si>
    <r>
      <t xml:space="preserve">Specific Energy </t>
    </r>
    <r>
      <rPr>
        <sz val="10"/>
        <color theme="1"/>
        <rFont val="Montserrat Medium"/>
        <family val="3"/>
      </rPr>
      <t>(Wh/kg)</t>
    </r>
  </si>
  <si>
    <r>
      <t xml:space="preserve">Energy Density </t>
    </r>
    <r>
      <rPr>
        <sz val="10"/>
        <color theme="1"/>
        <rFont val="Montserrat Medium"/>
        <family val="3"/>
      </rPr>
      <t>(kWh/m3)</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</si>
  <si>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</si>
  <si>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</si>
  <si>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Power density </t>
    </r>
    <r>
      <rPr>
        <sz val="10"/>
        <color theme="1"/>
        <rFont val="Montserrat Medium"/>
        <family val="3"/>
      </rPr>
      <t>(kW/m3)</t>
    </r>
  </si>
  <si>
    <t>1. The uncertainty is calculated with the similar numerical behaviour from [1]. 
2. The exchange ratio for 2030 is estimated by linear regression between the exchange ratio 2020 and 2050.</t>
  </si>
  <si>
    <t>1. This technical data was calculated with a Specific Power equation (see Lithium ion sheet). 2. In the chapter of Introduccion of the Catalogue, it is defined the equation of Specific Power.</t>
  </si>
  <si>
    <t>1. This technical data was calculated with a Power Density equation (see Lithium Ion sheet). 2. In the chapter of Introduccion of the Catalogue, it is defined the equation of Power Density.</t>
  </si>
  <si>
    <t>1.  The data of years 2015, 2020, 2030, and 2050 showed in this sheets from [23]. 2. The selected data for 2020 is a point data types from [1, 6]. 3. The projections have similar numerical behavior to [23] with the estimated exchange ratio applied to estimated the projection of the value from [1, 6]</t>
  </si>
  <si>
    <t>1.  The data of years 2015, 2020, 2030, and 2050 showed in this sheets from [23]. 2. The selected data for 2020 is a point data types from [2, 8, 9, 17]. 3. The projections have similar numerical behavior to [23] with the estimated exchange ratio applied to estimated the projection of the value from [2, 8, 9, 17].</t>
  </si>
  <si>
    <t>1.  The data of years 2015, 2020, 2030, and 2050 showed in this sheets from [23]. 2. The selected data for 2020 is a point data types from [1]. 3. The projections have similar numerical behavior to [23] with the estimated exchange ratio applied to estimated the projection of the value from [1].</t>
  </si>
  <si>
    <t>1.  The data of years 2015, 2020, 2030, and 2050 showed in this sheets from [23]. 2. The selected data for 2020 is a point data types from [7, 16, 18]. 3. The projections have similar numerical behavior to [23] with the estimated exchange ratio applied to estimated the projection of the value from [7, 16, 18].</t>
  </si>
  <si>
    <t>1.  The data of years 2015, 2020, 2030, and 2050 showed in this sheets from [23]. 2. The exchange ratio is contant to 2030 and 2050, because it will not have a variation due its technological maturity.</t>
  </si>
  <si>
    <t>1.  The data of years 2015, 2020, 2030, and 2050 showed in this sheets from [23]. 2. The selected data for 2020 is a point data types from [2, 4, 5, 6]. 3. The projections have similar numerical behavior to [23] with the estimated exchange ratio applied to estimated the projection of the value from [2, 4, 5, 6].</t>
  </si>
  <si>
    <t>1.  The data of years 2015, 2020, 2030, and 2050 showed in this sheets from [23]. 2. The selected data for 2020 is a point data types from [11]. 3. The projections have similar numerical behavior to [23] with the estimated exchange ratio applied to estimated the projection of the value from [11].</t>
  </si>
  <si>
    <t>1.  The data of years 2015, 2020, 2030, and 2050 showed in this sheets from [23]. 2. The selected data for 2020 is a point data types from [2-4, 6]. 3. The projections have similar numerical behavior to [23] with the estimated exchange ratio applied to estimated the projection of the value from [2-4, 6].</t>
  </si>
  <si>
    <t>1.  The data of tha year 2020 is repeatead for 2030 and 2050 because it will not have a variation due to its technological maturity.</t>
  </si>
  <si>
    <t>1. This parameter data was calculated with an equation for Specific Investment (see Lithium Ion sheet). 2. In the chapter of Introduccion of the Catalogue, it is defined the equation of Specific Investment.</t>
  </si>
  <si>
    <t>1.  The data of years 2015, 2020, 2030, and 2050 showed in this sheets from [24]. 2. The selected data for 2020 is a point data types from [14]. 3. The projections have similar numerical behavior to [24] with the estimated exchange ratio applied to estimated the projection of the value from [14].</t>
  </si>
  <si>
    <r>
      <t xml:space="preserve">1.  The data of years 2015, 2020, 2030, and 2050 showed in this sheets from [23]. 2. The selected data for 2020 is a point data types from [9, 12, 20]. 3. The projections have similar numerical behavior to [23] with the estimated exchange ratio applied to estimated the projection of the value from </t>
    </r>
    <r>
      <rPr>
        <sz val="10"/>
        <color theme="1"/>
        <rFont val="Montserrat Medium"/>
      </rPr>
      <t>[9, 12, 20]</t>
    </r>
    <r>
      <rPr>
        <sz val="10"/>
        <color theme="1"/>
        <rFont val="Montserrat Medium"/>
        <family val="3"/>
      </rPr>
      <t>.</t>
    </r>
  </si>
  <si>
    <t>1.  The data of years 2015, 2020, 2030, and 2050 showed in this sheets from [23]. 2. The exchange ratio is constant to 2030 and 2050, because it will not have a variation due its technological maturity.</t>
  </si>
  <si>
    <t>1.  The data of years 2015, 2020, 2030, and 2050 showed in this sheets from [23]. 2. The exchange ratio is constant to 2030 and 2050, because it will not have a variation due its technological maturity.
2. The projection is an exchange ratio because there is no historical data.</t>
  </si>
  <si>
    <t>1.  The data of years 2015, 2020, 2030, and 2050 showed in this sheets from [23]. 2. The selected data for 2020 is a point data types from [21]. 3. The projections have similar numerical behavior to [23] with the estimated exchange ratio applied to estimated the projection of the value from [21].</t>
  </si>
  <si>
    <t>1.  The data of years 2015, 2020, 2030, and 2050 showed in this sheets from [23]. 2. The selected data for 2020 is a point data types from [14, 15]. 3. The projections have similar numerical behavior to [23] with the estimated exchange ratio applied to estimated the projection of the value from [14, 15].</t>
  </si>
  <si>
    <t>1.  The data of years 2015, 2020, 2030, and 2050 showed in this sheets from [23]. 2. The selected data for 2020 is a point data types from [20, 22]. 3. The projections have similar numerical behavior to [23] with the estimated exchange ratio applied to estimated the projection of the value from [20, 22].</t>
  </si>
  <si>
    <t>1.  The data of years 2015, 2020, 2030, and 2050 showed in this sheets from [23]. 2. The selected data for 2020 is a point data types from [13, 14, 15, 20-22]. 3. The projections have similar numerical behavior to [23] with the estimated exchange ratio applied to estimated the projection of the value from [13, 14, 15, 20-22].</t>
  </si>
  <si>
    <t>1. This technical data was calculated with a Specific Power equation (see Lithium Ion sheet). 2. In the chapter of Introduccion of the Catalogue, it is defined the equation of Specific Power.</t>
  </si>
  <si>
    <t>1.  The data of years 2015, 2020, 2030, and 2050 showed in this sheets from [23]. 2. The selected data for 2020 is a point data types from [1, 10]. 4. The projections have a similar numerical behaviour to [23] with the value from [1,10]</t>
  </si>
  <si>
    <t>Cálculo de peso, volumen y energía para Specific Energy and Energy Density</t>
  </si>
  <si>
    <t>Energy storage expansion cost (M$2020/MWh)</t>
  </si>
  <si>
    <t>Output capacity expansion cost (M$2020/MW)</t>
  </si>
  <si>
    <t>Alternative Investment cost (M$2020/MW)</t>
  </si>
  <si>
    <t>- Charge efficiency (%)</t>
  </si>
  <si>
    <t>Specific investment (MUSD2020 per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</si>
</sst>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000"/>
    <numFmt numFmtId="166" formatCode="0.000"/>
    <numFmt numFmtId="167" formatCode="0.0"/>
  </numFmts>
  <fonts count="32" x14ac:knownFonts="1">
    <font>
      <sz val="11"/>
      <color theme="1"/>
      <name val="Calibri"/>
      <family val="2"/>
      <scheme val="minor"/>
    </font>
    <font>
      <sz val="11"/>
      <color theme="1"/>
      <name val="Calibri"/>
      <family val="2"/>
      <scheme val="minor"/>
    </font>
    <font>
      <sz val="10"/>
      <name val="Helv"/>
    </font>
    <font>
      <u/>
      <sz val="10"/>
      <color indexed="12"/>
      <name val="Arial"/>
      <family val="2"/>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sz val="11"/>
      <color theme="1"/>
      <name val="Montserrat Medium"/>
      <family val="3"/>
    </font>
    <font>
      <b/>
      <sz val="8"/>
      <color theme="1"/>
      <name val="Montserrat Medium"/>
      <family val="3"/>
    </font>
    <font>
      <sz val="8"/>
      <color theme="1"/>
      <name val="Montserrat Medium"/>
      <family val="3"/>
    </font>
    <font>
      <i/>
      <sz val="11"/>
      <color theme="0" tint="-0.34998626667073579"/>
      <name val="Montserrat Medium"/>
      <family val="3"/>
    </font>
    <font>
      <b/>
      <sz val="6"/>
      <color theme="1"/>
      <name val="Montserrat Medium"/>
      <family val="3"/>
    </font>
    <font>
      <sz val="6"/>
      <color theme="1"/>
      <name val="Montserrat Medium"/>
      <family val="3"/>
    </font>
    <font>
      <b/>
      <sz val="11"/>
      <color theme="1"/>
      <name val="Montserrat Medium"/>
      <family val="3"/>
    </font>
    <font>
      <sz val="10"/>
      <color theme="1"/>
      <name val="Montserrat Medium"/>
      <family val="3"/>
    </font>
    <font>
      <sz val="10"/>
      <color theme="9"/>
      <name val="Montserrat Medium"/>
      <family val="3"/>
    </font>
    <font>
      <sz val="10"/>
      <color rgb="FF1F497D"/>
      <name val="Montserrat Medium"/>
      <family val="3"/>
    </font>
    <font>
      <sz val="10"/>
      <color rgb="FFFF0000"/>
      <name val="Montserrat Medium"/>
      <family val="3"/>
    </font>
    <font>
      <b/>
      <sz val="9"/>
      <color theme="1"/>
      <name val="Montserrat Medium"/>
      <family val="3"/>
    </font>
    <font>
      <sz val="9"/>
      <color theme="1"/>
      <name val="Montserrat Medium"/>
      <family val="3"/>
    </font>
    <font>
      <b/>
      <sz val="10"/>
      <color theme="1"/>
      <name val="Montserrat Medium"/>
      <family val="3"/>
    </font>
    <font>
      <sz val="10"/>
      <name val="Montserrat Medium"/>
      <family val="3"/>
    </font>
    <font>
      <sz val="10"/>
      <color rgb="FF000000"/>
      <name val="Montserrat Medium"/>
      <family val="3"/>
    </font>
    <font>
      <b/>
      <sz val="9"/>
      <color theme="1"/>
      <name val="Montserrat Medium"/>
    </font>
    <font>
      <b/>
      <sz val="11"/>
      <color theme="1"/>
      <name val="Montserrat Medium"/>
    </font>
    <font>
      <sz val="10"/>
      <color theme="1"/>
      <name val="Montserrat Medium"/>
    </font>
    <font>
      <sz val="9"/>
      <color rgb="FF000000"/>
      <name val="Montserrat Medium"/>
      <family val="3"/>
    </font>
    <font>
      <sz val="9"/>
      <color theme="1"/>
      <name val="Montserrat Medium"/>
    </font>
    <font>
      <i/>
      <sz val="9"/>
      <color theme="1"/>
      <name val="Montserrat Medium"/>
    </font>
  </fonts>
  <fills count="6">
    <fill>
      <patternFill patternType="none"/>
    </fill>
    <fill>
      <patternFill patternType="gray125"/>
    </fill>
    <fill>
      <patternFill patternType="solid">
        <fgColor rgb="FFFFFFFF"/>
        <bgColor indexed="64"/>
      </patternFill>
    </fill>
    <fill>
      <patternFill patternType="solid">
        <fgColor indexed="47"/>
      </patternFill>
    </fill>
    <fill>
      <patternFill patternType="solid">
        <fgColor indexed="43"/>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3">
    <xf numFmtId="0" fontId="0" fillId="0" borderId="0"/>
    <xf numFmtId="43"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3" borderId="4" applyNumberFormat="0" applyAlignment="0" applyProtection="0"/>
    <xf numFmtId="43"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6" fillId="4" borderId="0" applyNumberFormat="0" applyBorder="0" applyAlignment="0" applyProtection="0"/>
    <xf numFmtId="0" fontId="7" fillId="0" borderId="0"/>
    <xf numFmtId="0" fontId="2" fillId="0" borderId="0"/>
    <xf numFmtId="0" fontId="7" fillId="0" borderId="0"/>
    <xf numFmtId="0" fontId="7" fillId="0" borderId="0"/>
    <xf numFmtId="0" fontId="8" fillId="5" borderId="5" applyNumberFormat="0" applyAlignment="0" applyProtection="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6" applyNumberFormat="0" applyFill="0" applyAlignment="0" applyProtection="0"/>
    <xf numFmtId="9" fontId="1" fillId="0" borderId="0" applyFont="0" applyFill="0" applyBorder="0" applyAlignment="0" applyProtection="0"/>
  </cellStyleXfs>
  <cellXfs count="112">
    <xf numFmtId="0" fontId="0" fillId="0" borderId="0" xfId="0"/>
    <xf numFmtId="0" fontId="10" fillId="0" borderId="0" xfId="0" applyFont="1"/>
    <xf numFmtId="0" fontId="13" fillId="0" borderId="0" xfId="0" applyFont="1"/>
    <xf numFmtId="0" fontId="14" fillId="2" borderId="0" xfId="0" applyFont="1" applyFill="1" applyBorder="1" applyAlignment="1">
      <alignment horizontal="left" vertical="center"/>
    </xf>
    <xf numFmtId="0" fontId="15" fillId="2" borderId="0" xfId="0" applyFont="1" applyFill="1" applyBorder="1" applyAlignment="1">
      <alignment vertical="center"/>
    </xf>
    <xf numFmtId="0" fontId="16" fillId="0" borderId="0" xfId="0" applyFont="1"/>
    <xf numFmtId="0" fontId="16" fillId="0" borderId="0" xfId="0" applyFont="1" applyAlignment="1">
      <alignment horizontal="left" vertical="center"/>
    </xf>
    <xf numFmtId="0" fontId="10" fillId="0" borderId="0" xfId="0" applyFont="1" applyAlignment="1">
      <alignment horizontal="left"/>
    </xf>
    <xf numFmtId="0" fontId="10" fillId="0" borderId="0" xfId="0" applyFont="1" applyFill="1"/>
    <xf numFmtId="0" fontId="10" fillId="0" borderId="0" xfId="0" applyFont="1" applyFill="1" applyAlignment="1">
      <alignment horizontal="left"/>
    </xf>
    <xf numFmtId="0" fontId="17" fillId="0" borderId="0" xfId="0" applyFont="1"/>
    <xf numFmtId="0" fontId="17" fillId="0" borderId="0" xfId="0" applyFont="1" applyAlignment="1">
      <alignment horizontal="left" vertical="center"/>
    </xf>
    <xf numFmtId="0" fontId="17" fillId="0" borderId="0" xfId="0" applyFont="1" applyFill="1"/>
    <xf numFmtId="0" fontId="17" fillId="0" borderId="0" xfId="0" applyFont="1" applyFill="1" applyAlignment="1">
      <alignment horizontal="left"/>
    </xf>
    <xf numFmtId="0" fontId="17" fillId="0" borderId="0" xfId="0" applyFont="1" applyFill="1" applyAlignment="1">
      <alignment horizontal="left" vertical="center"/>
    </xf>
    <xf numFmtId="0" fontId="21" fillId="2" borderId="0" xfId="0" applyFont="1" applyFill="1" applyBorder="1" applyAlignment="1">
      <alignment horizontal="right" vertical="center"/>
    </xf>
    <xf numFmtId="0" fontId="21" fillId="2" borderId="0" xfId="0" applyFont="1" applyFill="1" applyBorder="1" applyAlignment="1">
      <alignment vertical="center"/>
    </xf>
    <xf numFmtId="167" fontId="17" fillId="0" borderId="0" xfId="0" applyNumberFormat="1" applyFont="1" applyFill="1" applyAlignment="1">
      <alignment horizontal="center" vertical="center"/>
    </xf>
    <xf numFmtId="166" fontId="17" fillId="0" borderId="0" xfId="0" applyNumberFormat="1" applyFont="1" applyFill="1" applyAlignment="1">
      <alignment horizontal="center" vertical="center"/>
    </xf>
    <xf numFmtId="0" fontId="17" fillId="0" borderId="0" xfId="0" applyFont="1" applyFill="1" applyAlignment="1">
      <alignment horizontal="right"/>
    </xf>
    <xf numFmtId="0" fontId="23" fillId="0" borderId="1" xfId="0" applyFont="1" applyFill="1" applyBorder="1" applyAlignment="1">
      <alignment horizontal="left" vertical="center" wrapText="1"/>
    </xf>
    <xf numFmtId="166" fontId="17" fillId="0" borderId="1" xfId="22" applyNumberFormat="1" applyFont="1" applyFill="1" applyBorder="1" applyAlignment="1">
      <alignment horizontal="center" vertical="center"/>
    </xf>
    <xf numFmtId="0" fontId="26" fillId="0" borderId="14" xfId="0" applyFont="1" applyFill="1" applyBorder="1" applyAlignment="1">
      <alignment vertical="center"/>
    </xf>
    <xf numFmtId="0" fontId="17" fillId="0" borderId="14" xfId="0" applyFont="1" applyFill="1" applyBorder="1" applyAlignment="1">
      <alignment vertical="center" wrapText="1"/>
    </xf>
    <xf numFmtId="1" fontId="17" fillId="0" borderId="0" xfId="0" applyNumberFormat="1" applyFont="1" applyFill="1" applyAlignment="1">
      <alignment horizontal="center" vertical="center"/>
    </xf>
    <xf numFmtId="0" fontId="17" fillId="0" borderId="0" xfId="0" applyFont="1" applyFill="1" applyAlignment="1">
      <alignment horizontal="left" vertical="top" wrapText="1"/>
    </xf>
    <xf numFmtId="0" fontId="11"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166" fontId="17" fillId="0" borderId="0" xfId="0" applyNumberFormat="1" applyFont="1" applyFill="1" applyAlignment="1">
      <alignment horizontal="center" vertical="center" wrapText="1"/>
    </xf>
    <xf numFmtId="0" fontId="16" fillId="0" borderId="0" xfId="0" applyFont="1" applyFill="1"/>
    <xf numFmtId="0" fontId="16" fillId="0" borderId="0" xfId="0" applyFont="1" applyFill="1" applyAlignment="1">
      <alignment horizontal="left" vertical="center" wrapText="1"/>
    </xf>
    <xf numFmtId="0" fontId="10" fillId="0" borderId="0" xfId="0" applyFont="1" applyFill="1" applyAlignment="1">
      <alignment horizontal="center" vertical="center" wrapText="1"/>
    </xf>
    <xf numFmtId="0" fontId="16" fillId="0" borderId="0" xfId="0" applyFont="1" applyFill="1" applyAlignment="1">
      <alignment horizontal="center" vertical="center"/>
    </xf>
    <xf numFmtId="0" fontId="23" fillId="0" borderId="0" xfId="0" applyFont="1" applyFill="1" applyAlignment="1">
      <alignment horizontal="left" vertical="center" wrapText="1"/>
    </xf>
    <xf numFmtId="0" fontId="17" fillId="0" borderId="0" xfId="0" applyFont="1" applyFill="1" applyAlignment="1">
      <alignment horizontal="center" vertical="center" wrapText="1"/>
    </xf>
    <xf numFmtId="165" fontId="17" fillId="0" borderId="0" xfId="22" applyNumberFormat="1" applyFont="1" applyFill="1" applyAlignment="1">
      <alignment horizontal="center" vertical="center" wrapText="1"/>
    </xf>
    <xf numFmtId="167" fontId="17" fillId="0" borderId="0" xfId="0" applyNumberFormat="1" applyFont="1" applyFill="1" applyAlignment="1">
      <alignment horizontal="center" vertical="center" wrapText="1"/>
    </xf>
    <xf numFmtId="167" fontId="17" fillId="0" borderId="0" xfId="0" applyNumberFormat="1" applyFont="1" applyFill="1"/>
    <xf numFmtId="166" fontId="17" fillId="0" borderId="0" xfId="22" applyNumberFormat="1" applyFont="1" applyFill="1" applyAlignment="1">
      <alignment horizontal="center" vertical="center" wrapText="1"/>
    </xf>
    <xf numFmtId="2" fontId="17" fillId="0" borderId="0" xfId="22" applyNumberFormat="1" applyFont="1" applyFill="1" applyAlignment="1">
      <alignment horizontal="center" vertical="center" wrapText="1"/>
    </xf>
    <xf numFmtId="10" fontId="10" fillId="0" borderId="0" xfId="0" applyNumberFormat="1" applyFont="1" applyFill="1"/>
    <xf numFmtId="0" fontId="17" fillId="0" borderId="12" xfId="0" applyFont="1" applyFill="1" applyBorder="1" applyAlignment="1">
      <alignment vertical="center" wrapText="1"/>
    </xf>
    <xf numFmtId="2" fontId="17" fillId="0" borderId="0" xfId="0" applyNumberFormat="1" applyFont="1" applyFill="1" applyAlignment="1">
      <alignment horizontal="center" vertical="center" wrapText="1"/>
    </xf>
    <xf numFmtId="0" fontId="17" fillId="0" borderId="0" xfId="0" applyFont="1" applyFill="1" applyAlignment="1">
      <alignment horizontal="center" vertical="center"/>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1" fontId="17" fillId="0" borderId="0" xfId="0" applyNumberFormat="1" applyFont="1" applyFill="1" applyAlignment="1">
      <alignment horizontal="center" vertical="center" wrapText="1"/>
    </xf>
    <xf numFmtId="0" fontId="17" fillId="0" borderId="0" xfId="0" applyFont="1" applyFill="1" applyAlignment="1">
      <alignment vertical="top" wrapText="1"/>
    </xf>
    <xf numFmtId="0" fontId="17" fillId="0" borderId="12" xfId="0" applyFont="1" applyFill="1" applyBorder="1" applyAlignment="1">
      <alignment vertical="top" wrapText="1"/>
    </xf>
    <xf numFmtId="0" fontId="11" fillId="0" borderId="0" xfId="0" applyFont="1" applyFill="1" applyAlignment="1">
      <alignment horizontal="left" vertical="center" wrapText="1"/>
    </xf>
    <xf numFmtId="0" fontId="10" fillId="0" borderId="1" xfId="0" applyFont="1" applyFill="1" applyBorder="1" applyAlignment="1">
      <alignment horizontal="center" vertical="center"/>
    </xf>
    <xf numFmtId="0" fontId="25" fillId="0" borderId="0" xfId="0" applyFont="1" applyFill="1" applyAlignment="1">
      <alignment horizontal="right"/>
    </xf>
    <xf numFmtId="0" fontId="24" fillId="0" borderId="0" xfId="13" applyFont="1" applyFill="1" applyAlignment="1">
      <alignment horizontal="left" vertical="center"/>
    </xf>
    <xf numFmtId="0" fontId="17" fillId="0" borderId="0" xfId="0" applyFont="1" applyFill="1" applyAlignment="1">
      <alignment vertical="center" wrapText="1"/>
    </xf>
    <xf numFmtId="0" fontId="16" fillId="0" borderId="0" xfId="0" applyFont="1" applyFill="1" applyAlignment="1">
      <alignment vertical="center" wrapText="1"/>
    </xf>
    <xf numFmtId="0" fontId="10" fillId="0" borderId="0" xfId="0" applyFont="1" applyFill="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166" fontId="17" fillId="0" borderId="1" xfId="0" applyNumberFormat="1" applyFont="1" applyFill="1" applyBorder="1" applyAlignment="1">
      <alignment horizontal="center" vertical="center"/>
    </xf>
    <xf numFmtId="0" fontId="10" fillId="0" borderId="1" xfId="0" applyFont="1" applyFill="1" applyBorder="1"/>
    <xf numFmtId="0" fontId="17" fillId="0" borderId="1" xfId="0" applyFont="1" applyFill="1" applyBorder="1" applyAlignment="1">
      <alignment wrapText="1"/>
    </xf>
    <xf numFmtId="0" fontId="17" fillId="0" borderId="13" xfId="0" applyFont="1" applyFill="1" applyBorder="1" applyAlignment="1">
      <alignment horizontal="center" vertical="center"/>
    </xf>
    <xf numFmtId="0" fontId="17" fillId="0" borderId="1" xfId="0" applyFont="1" applyFill="1" applyBorder="1"/>
    <xf numFmtId="0" fontId="11" fillId="0" borderId="0" xfId="0" applyFont="1" applyFill="1" applyAlignment="1">
      <alignment horizontal="center" vertical="center" wrapText="1"/>
    </xf>
    <xf numFmtId="166" fontId="10" fillId="0" borderId="0" xfId="0" applyNumberFormat="1" applyFont="1" applyFill="1" applyAlignment="1">
      <alignment horizontal="center" vertical="center"/>
    </xf>
    <xf numFmtId="0" fontId="27" fillId="0" borderId="10" xfId="0" applyFont="1" applyFill="1" applyBorder="1" applyAlignment="1">
      <alignment vertical="center" wrapText="1"/>
    </xf>
    <xf numFmtId="0" fontId="12" fillId="0" borderId="0" xfId="0" applyFont="1" applyFill="1" applyAlignment="1">
      <alignment vertical="center" wrapText="1"/>
    </xf>
    <xf numFmtId="0" fontId="12" fillId="0" borderId="0" xfId="0" applyFont="1" applyFill="1" applyAlignment="1">
      <alignment vertical="center"/>
    </xf>
    <xf numFmtId="0" fontId="16" fillId="0" borderId="0" xfId="0" applyFont="1" applyFill="1" applyAlignment="1">
      <alignment vertical="center"/>
    </xf>
    <xf numFmtId="0" fontId="23" fillId="0" borderId="11" xfId="0" applyFont="1" applyFill="1" applyBorder="1" applyAlignment="1">
      <alignment vertical="top" wrapText="1"/>
    </xf>
    <xf numFmtId="0" fontId="23" fillId="0" borderId="0" xfId="0" applyFont="1" applyFill="1" applyAlignment="1">
      <alignment vertical="top"/>
    </xf>
    <xf numFmtId="0" fontId="23" fillId="0" borderId="11" xfId="0" applyFont="1" applyFill="1" applyBorder="1" applyAlignment="1">
      <alignment vertical="top"/>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7" fontId="22" fillId="0" borderId="1"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0" fontId="21" fillId="0" borderId="1" xfId="0" applyFont="1" applyFill="1" applyBorder="1" applyAlignment="1">
      <alignment vertical="top"/>
    </xf>
    <xf numFmtId="2" fontId="29" fillId="0" borderId="1" xfId="0" applyNumberFormat="1" applyFont="1" applyFill="1" applyBorder="1" applyAlignment="1">
      <alignment horizontal="center" vertical="center" wrapText="1"/>
    </xf>
    <xf numFmtId="2" fontId="21" fillId="0" borderId="1" xfId="0" applyNumberFormat="1" applyFont="1" applyFill="1" applyBorder="1" applyAlignment="1">
      <alignment horizontal="left" vertical="top"/>
    </xf>
    <xf numFmtId="0" fontId="21" fillId="0" borderId="1" xfId="0" applyFont="1" applyFill="1" applyBorder="1" applyAlignment="1">
      <alignment horizontal="left" vertical="top"/>
    </xf>
    <xf numFmtId="0" fontId="30"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0" fillId="0" borderId="1" xfId="0" applyFont="1" applyFill="1" applyBorder="1" applyAlignment="1">
      <alignment horizontal="left" vertical="center"/>
    </xf>
    <xf numFmtId="0" fontId="30" fillId="0" borderId="1" xfId="0" quotePrefix="1" applyFont="1" applyFill="1" applyBorder="1" applyAlignment="1">
      <alignment horizontal="left" vertical="center" wrapText="1"/>
    </xf>
    <xf numFmtId="0" fontId="22"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2" xfId="0" applyFont="1" applyFill="1" applyBorder="1" applyAlignment="1">
      <alignment horizontal="center" vertical="top" wrapText="1"/>
    </xf>
    <xf numFmtId="0" fontId="17" fillId="0" borderId="12" xfId="0" applyFont="1" applyFill="1" applyBorder="1" applyAlignment="1">
      <alignment horizontal="center" vertical="center" wrapText="1"/>
    </xf>
    <xf numFmtId="0" fontId="23" fillId="0" borderId="0" xfId="0" applyFont="1" applyFill="1" applyAlignment="1">
      <alignment horizontal="center"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 xfId="0" applyFont="1" applyFill="1" applyBorder="1" applyAlignment="1">
      <alignment horizontal="center" vertical="center"/>
    </xf>
    <xf numFmtId="0" fontId="16" fillId="0" borderId="0" xfId="0" applyFont="1" applyFill="1" applyAlignment="1">
      <alignment horizontal="left" vertical="center" wrapText="1"/>
    </xf>
    <xf numFmtId="0" fontId="17" fillId="0" borderId="8"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9" xfId="0" applyFont="1" applyFill="1" applyBorder="1" applyAlignment="1">
      <alignment horizontal="left" vertical="top" wrapText="1"/>
    </xf>
    <xf numFmtId="0" fontId="23"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xf>
  </cellXfs>
  <cellStyles count="23">
    <cellStyle name="Comma 2" xfId="1" xr:uid="{00000000-0005-0000-0000-000000000000}"/>
    <cellStyle name="Comma 3" xfId="2" xr:uid="{00000000-0005-0000-0000-000001000000}"/>
    <cellStyle name="Comma0 - Type3" xfId="3" xr:uid="{00000000-0005-0000-0000-000002000000}"/>
    <cellStyle name="Fixed2 - Type2" xfId="4" xr:uid="{00000000-0005-0000-0000-000003000000}"/>
    <cellStyle name="Hyperlink 2" xfId="5" xr:uid="{00000000-0005-0000-0000-000004000000}"/>
    <cellStyle name="Hyperlink 3" xfId="6" xr:uid="{00000000-0005-0000-0000-000005000000}"/>
    <cellStyle name="Input 2" xfId="7" xr:uid="{00000000-0005-0000-0000-000006000000}"/>
    <cellStyle name="Komma 2" xfId="8" xr:uid="{00000000-0005-0000-0000-000007000000}"/>
    <cellStyle name="Komma 3" xfId="9" xr:uid="{00000000-0005-0000-0000-000008000000}"/>
    <cellStyle name="Link 2" xfId="10" xr:uid="{00000000-0005-0000-0000-000009000000}"/>
    <cellStyle name="Neutral 2" xfId="11" xr:uid="{00000000-0005-0000-0000-00000A000000}"/>
    <cellStyle name="Normal" xfId="0" builtinId="0"/>
    <cellStyle name="Normal 10" xfId="12" xr:uid="{00000000-0005-0000-0000-00000C000000}"/>
    <cellStyle name="Normal 2" xfId="13" xr:uid="{00000000-0005-0000-0000-00000D000000}"/>
    <cellStyle name="Normal 6" xfId="14" xr:uid="{00000000-0005-0000-0000-00000E000000}"/>
    <cellStyle name="Normal 6 2" xfId="15" xr:uid="{00000000-0005-0000-0000-00000F000000}"/>
    <cellStyle name="Output 2" xfId="16" xr:uid="{00000000-0005-0000-0000-000010000000}"/>
    <cellStyle name="Percen - Type1" xfId="17" xr:uid="{00000000-0005-0000-0000-000011000000}"/>
    <cellStyle name="Percent 2" xfId="18" xr:uid="{00000000-0005-0000-0000-000012000000}"/>
    <cellStyle name="Porcentaje" xfId="22" builtinId="5"/>
    <cellStyle name="Procent 2" xfId="19" xr:uid="{00000000-0005-0000-0000-000014000000}"/>
    <cellStyle name="Procent 3" xfId="20" xr:uid="{00000000-0005-0000-0000-000015000000}"/>
    <cellStyle name="Total 2" xfId="21"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5.xml"/><Relationship Id="rId26" Type="http://schemas.openxmlformats.org/officeDocument/2006/relationships/chartsheet" Target="chartsheets/sheet23.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hartsheet" Target="chartsheets/sheet18.xml"/><Relationship Id="rId34" Type="http://schemas.openxmlformats.org/officeDocument/2006/relationships/chartsheet" Target="chartsheets/sheet31.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chartsheet" Target="chartsheets/sheet14.xml"/><Relationship Id="rId25" Type="http://schemas.openxmlformats.org/officeDocument/2006/relationships/chartsheet" Target="chartsheets/sheet22.xml"/><Relationship Id="rId33" Type="http://schemas.openxmlformats.org/officeDocument/2006/relationships/chartsheet" Target="chartsheets/sheet30.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13.xml"/><Relationship Id="rId20" Type="http://schemas.openxmlformats.org/officeDocument/2006/relationships/chartsheet" Target="chartsheets/sheet17.xml"/><Relationship Id="rId29" Type="http://schemas.openxmlformats.org/officeDocument/2006/relationships/chartsheet" Target="chartsheets/sheet26.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24" Type="http://schemas.openxmlformats.org/officeDocument/2006/relationships/chartsheet" Target="chartsheets/sheet21.xml"/><Relationship Id="rId32" Type="http://schemas.openxmlformats.org/officeDocument/2006/relationships/chartsheet" Target="chartsheets/sheet29.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chartsheet" Target="chartsheets/sheet2.xml"/><Relationship Id="rId15" Type="http://schemas.openxmlformats.org/officeDocument/2006/relationships/chartsheet" Target="chartsheets/sheet12.xml"/><Relationship Id="rId23" Type="http://schemas.openxmlformats.org/officeDocument/2006/relationships/chartsheet" Target="chartsheets/sheet20.xml"/><Relationship Id="rId28" Type="http://schemas.openxmlformats.org/officeDocument/2006/relationships/chartsheet" Target="chartsheets/sheet25.xml"/><Relationship Id="rId36" Type="http://schemas.openxmlformats.org/officeDocument/2006/relationships/externalLink" Target="externalLinks/externalLink2.xml"/><Relationship Id="rId10" Type="http://schemas.openxmlformats.org/officeDocument/2006/relationships/chartsheet" Target="chartsheets/sheet7.xml"/><Relationship Id="rId19" Type="http://schemas.openxmlformats.org/officeDocument/2006/relationships/chartsheet" Target="chartsheets/sheet16.xml"/><Relationship Id="rId31" Type="http://schemas.openxmlformats.org/officeDocument/2006/relationships/chartsheet" Target="chartsheets/sheet28.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chartsheet" Target="chartsheets/sheet19.xml"/><Relationship Id="rId27" Type="http://schemas.openxmlformats.org/officeDocument/2006/relationships/chartsheet" Target="chartsheets/sheet24.xml"/><Relationship Id="rId30" Type="http://schemas.openxmlformats.org/officeDocument/2006/relationships/chartsheet" Target="chartsheets/sheet27.xml"/><Relationship Id="rId35"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9.7722426273514768E-2"/>
                  <c:y val="0.5904771376090234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Uncertanties!$R$2:$R$3</c:f>
              <c:numCache>
                <c:formatCode>General</c:formatCode>
                <c:ptCount val="2"/>
                <c:pt idx="0">
                  <c:v>2020</c:v>
                </c:pt>
                <c:pt idx="1">
                  <c:v>2050</c:v>
                </c:pt>
              </c:numCache>
            </c:numRef>
          </c:xVal>
          <c:yVal>
            <c:numRef>
              <c:f>Uncertanties!$S$2:$S$3</c:f>
              <c:numCache>
                <c:formatCode>0.000</c:formatCode>
                <c:ptCount val="2"/>
                <c:pt idx="0">
                  <c:v>-0.16666666666666666</c:v>
                </c:pt>
                <c:pt idx="1">
                  <c:v>-0.125</c:v>
                </c:pt>
              </c:numCache>
            </c:numRef>
          </c:yVal>
          <c:smooth val="1"/>
          <c:extLst>
            <c:ext xmlns:c16="http://schemas.microsoft.com/office/drawing/2014/chart" uri="{C3380CC4-5D6E-409C-BE32-E72D297353CC}">
              <c16:uniqueId val="{00000000-605F-415B-AFA4-BB94B9DA0575}"/>
            </c:ext>
          </c:extLst>
        </c:ser>
        <c:dLbls>
          <c:showLegendKey val="0"/>
          <c:showVal val="0"/>
          <c:showCatName val="0"/>
          <c:showSerName val="0"/>
          <c:showPercent val="0"/>
          <c:showBubbleSize val="0"/>
        </c:dLbls>
        <c:axId val="109222912"/>
        <c:axId val="109886848"/>
      </c:scatterChart>
      <c:valAx>
        <c:axId val="109222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886848"/>
        <c:crosses val="autoZero"/>
        <c:crossBetween val="midCat"/>
      </c:valAx>
      <c:valAx>
        <c:axId val="109886848"/>
        <c:scaling>
          <c:orientation val="minMax"/>
          <c:max val="-0.120000000000000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2229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0640336778932395"/>
                  <c:y val="0.5635145143898240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Uncertanties!$U$8:$U$9</c:f>
              <c:numCache>
                <c:formatCode>General</c:formatCode>
                <c:ptCount val="2"/>
                <c:pt idx="0">
                  <c:v>2020</c:v>
                </c:pt>
                <c:pt idx="1">
                  <c:v>2050</c:v>
                </c:pt>
              </c:numCache>
            </c:numRef>
          </c:xVal>
          <c:yVal>
            <c:numRef>
              <c:f>Uncertanties!$W$8:$W$9</c:f>
              <c:numCache>
                <c:formatCode>0.000</c:formatCode>
                <c:ptCount val="2"/>
                <c:pt idx="0">
                  <c:v>0.25</c:v>
                </c:pt>
                <c:pt idx="1">
                  <c:v>0.5</c:v>
                </c:pt>
              </c:numCache>
            </c:numRef>
          </c:yVal>
          <c:smooth val="1"/>
          <c:extLst>
            <c:ext xmlns:c16="http://schemas.microsoft.com/office/drawing/2014/chart" uri="{C3380CC4-5D6E-409C-BE32-E72D297353CC}">
              <c16:uniqueId val="{00000000-5B27-4C48-AE9A-46F691AE18BE}"/>
            </c:ext>
          </c:extLst>
        </c:ser>
        <c:dLbls>
          <c:showLegendKey val="0"/>
          <c:showVal val="0"/>
          <c:showCatName val="0"/>
          <c:showSerName val="0"/>
          <c:showPercent val="0"/>
          <c:showBubbleSize val="0"/>
        </c:dLbls>
        <c:axId val="141216384"/>
        <c:axId val="141222272"/>
      </c:scatterChart>
      <c:valAx>
        <c:axId val="141216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222272"/>
        <c:crosses val="autoZero"/>
        <c:crossBetween val="midCat"/>
      </c:valAx>
      <c:valAx>
        <c:axId val="141222272"/>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216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1.1491057302910005E-3"/>
                  <c:y val="5.5818171376610617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Uncertanties!$X$8:$X$9</c:f>
              <c:numCache>
                <c:formatCode>General</c:formatCode>
                <c:ptCount val="2"/>
                <c:pt idx="0">
                  <c:v>2020</c:v>
                </c:pt>
                <c:pt idx="1">
                  <c:v>2050</c:v>
                </c:pt>
              </c:numCache>
            </c:numRef>
          </c:xVal>
          <c:yVal>
            <c:numRef>
              <c:f>Uncertanties!$Y$8:$Y$9</c:f>
              <c:numCache>
                <c:formatCode>0.000</c:formatCode>
                <c:ptCount val="2"/>
                <c:pt idx="0">
                  <c:v>0</c:v>
                </c:pt>
                <c:pt idx="1">
                  <c:v>-0.5</c:v>
                </c:pt>
              </c:numCache>
            </c:numRef>
          </c:yVal>
          <c:smooth val="1"/>
          <c:extLst>
            <c:ext xmlns:c16="http://schemas.microsoft.com/office/drawing/2014/chart" uri="{C3380CC4-5D6E-409C-BE32-E72D297353CC}">
              <c16:uniqueId val="{00000000-1D03-49C6-8BDB-5313D2488C0C}"/>
            </c:ext>
          </c:extLst>
        </c:ser>
        <c:dLbls>
          <c:showLegendKey val="0"/>
          <c:showVal val="0"/>
          <c:showCatName val="0"/>
          <c:showSerName val="0"/>
          <c:showPercent val="0"/>
          <c:showBubbleSize val="0"/>
        </c:dLbls>
        <c:axId val="141576064"/>
        <c:axId val="141577600"/>
      </c:scatterChart>
      <c:valAx>
        <c:axId val="141576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577600"/>
        <c:crosses val="autoZero"/>
        <c:crossBetween val="midCat"/>
      </c:valAx>
      <c:valAx>
        <c:axId val="14157760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576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9.7751088085327315E-2"/>
                  <c:y val="0.5024107688082504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Uncertanties!$R$11:$R$12</c:f>
              <c:numCache>
                <c:formatCode>General</c:formatCode>
                <c:ptCount val="2"/>
                <c:pt idx="0">
                  <c:v>2020</c:v>
                </c:pt>
                <c:pt idx="1">
                  <c:v>2050</c:v>
                </c:pt>
              </c:numCache>
            </c:numRef>
          </c:xVal>
          <c:yVal>
            <c:numRef>
              <c:f>Uncertanties!$S$11:$S$12</c:f>
              <c:numCache>
                <c:formatCode>0.000</c:formatCode>
                <c:ptCount val="2"/>
                <c:pt idx="0">
                  <c:v>-0.46969696969696967</c:v>
                </c:pt>
                <c:pt idx="1">
                  <c:v>-0.25714285714285723</c:v>
                </c:pt>
              </c:numCache>
            </c:numRef>
          </c:yVal>
          <c:smooth val="1"/>
          <c:extLst>
            <c:ext xmlns:c16="http://schemas.microsoft.com/office/drawing/2014/chart" uri="{C3380CC4-5D6E-409C-BE32-E72D297353CC}">
              <c16:uniqueId val="{00000000-F6FD-4913-86CC-29A314213D23}"/>
            </c:ext>
          </c:extLst>
        </c:ser>
        <c:dLbls>
          <c:showLegendKey val="0"/>
          <c:showVal val="0"/>
          <c:showCatName val="0"/>
          <c:showSerName val="0"/>
          <c:showPercent val="0"/>
          <c:showBubbleSize val="0"/>
        </c:dLbls>
        <c:axId val="141984896"/>
        <c:axId val="141986432"/>
      </c:scatterChart>
      <c:valAx>
        <c:axId val="141984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986432"/>
        <c:crosses val="autoZero"/>
        <c:crossBetween val="midCat"/>
      </c:valAx>
      <c:valAx>
        <c:axId val="14198643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984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0291213094199941"/>
                  <c:y val="0.5403144950385109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Uncertanties!$R$11:$R$12</c:f>
              <c:numCache>
                <c:formatCode>General</c:formatCode>
                <c:ptCount val="2"/>
                <c:pt idx="0">
                  <c:v>2020</c:v>
                </c:pt>
                <c:pt idx="1">
                  <c:v>2050</c:v>
                </c:pt>
              </c:numCache>
            </c:numRef>
          </c:xVal>
          <c:yVal>
            <c:numRef>
              <c:f>Uncertanties!$T$11:$T$12</c:f>
              <c:numCache>
                <c:formatCode>0.000</c:formatCode>
                <c:ptCount val="2"/>
                <c:pt idx="0">
                  <c:v>0.43181818181818177</c:v>
                </c:pt>
                <c:pt idx="1">
                  <c:v>2.2857142857142856</c:v>
                </c:pt>
              </c:numCache>
            </c:numRef>
          </c:yVal>
          <c:smooth val="1"/>
          <c:extLst>
            <c:ext xmlns:c16="http://schemas.microsoft.com/office/drawing/2014/chart" uri="{C3380CC4-5D6E-409C-BE32-E72D297353CC}">
              <c16:uniqueId val="{00000000-9277-4B06-B7B2-06AB4D3622D8}"/>
            </c:ext>
          </c:extLst>
        </c:ser>
        <c:dLbls>
          <c:showLegendKey val="0"/>
          <c:showVal val="0"/>
          <c:showCatName val="0"/>
          <c:showSerName val="0"/>
          <c:showPercent val="0"/>
          <c:showBubbleSize val="0"/>
        </c:dLbls>
        <c:axId val="142999936"/>
        <c:axId val="143001472"/>
      </c:scatterChart>
      <c:valAx>
        <c:axId val="142999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001472"/>
        <c:crosses val="autoZero"/>
        <c:crossBetween val="midCat"/>
      </c:valAx>
      <c:valAx>
        <c:axId val="14300147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2999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797919432450655"/>
                  <c:y val="-4.249127092874948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Uncertanties!$U$11:$U$12</c:f>
              <c:numCache>
                <c:formatCode>General</c:formatCode>
                <c:ptCount val="2"/>
                <c:pt idx="0">
                  <c:v>2020</c:v>
                </c:pt>
                <c:pt idx="1">
                  <c:v>2050</c:v>
                </c:pt>
              </c:numCache>
            </c:numRef>
          </c:xVal>
          <c:yVal>
            <c:numRef>
              <c:f>Uncertanties!$V$11:$V$12</c:f>
              <c:numCache>
                <c:formatCode>0.000</c:formatCode>
                <c:ptCount val="2"/>
                <c:pt idx="0">
                  <c:v>-0.1111111111111112</c:v>
                </c:pt>
                <c:pt idx="1">
                  <c:v>-0.33333333333333331</c:v>
                </c:pt>
              </c:numCache>
            </c:numRef>
          </c:yVal>
          <c:smooth val="1"/>
          <c:extLst>
            <c:ext xmlns:c16="http://schemas.microsoft.com/office/drawing/2014/chart" uri="{C3380CC4-5D6E-409C-BE32-E72D297353CC}">
              <c16:uniqueId val="{00000000-6AA1-4D6E-AC97-219AE6C93FAB}"/>
            </c:ext>
          </c:extLst>
        </c:ser>
        <c:dLbls>
          <c:showLegendKey val="0"/>
          <c:showVal val="0"/>
          <c:showCatName val="0"/>
          <c:showSerName val="0"/>
          <c:showPercent val="0"/>
          <c:showBubbleSize val="0"/>
        </c:dLbls>
        <c:axId val="143043968"/>
        <c:axId val="143049856"/>
      </c:scatterChart>
      <c:valAx>
        <c:axId val="143043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049856"/>
        <c:crosses val="autoZero"/>
        <c:crossBetween val="midCat"/>
      </c:valAx>
      <c:valAx>
        <c:axId val="143049856"/>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0439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8671614017307354E-2"/>
                  <c:y val="0.56200343354165061"/>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Uncertanties!$U$11:$U$12</c:f>
              <c:numCache>
                <c:formatCode>General</c:formatCode>
                <c:ptCount val="2"/>
                <c:pt idx="0">
                  <c:v>2020</c:v>
                </c:pt>
                <c:pt idx="1">
                  <c:v>2050</c:v>
                </c:pt>
              </c:numCache>
            </c:numRef>
          </c:xVal>
          <c:yVal>
            <c:numRef>
              <c:f>Uncertanties!$W$11:$W$12</c:f>
              <c:numCache>
                <c:formatCode>0.000</c:formatCode>
                <c:ptCount val="2"/>
                <c:pt idx="0">
                  <c:v>0.88888888888888884</c:v>
                </c:pt>
                <c:pt idx="1">
                  <c:v>3.166666666666667</c:v>
                </c:pt>
              </c:numCache>
            </c:numRef>
          </c:yVal>
          <c:smooth val="1"/>
          <c:extLst>
            <c:ext xmlns:c16="http://schemas.microsoft.com/office/drawing/2014/chart" uri="{C3380CC4-5D6E-409C-BE32-E72D297353CC}">
              <c16:uniqueId val="{00000000-917E-4197-B6F0-5B721E2903AC}"/>
            </c:ext>
          </c:extLst>
        </c:ser>
        <c:dLbls>
          <c:showLegendKey val="0"/>
          <c:showVal val="0"/>
          <c:showCatName val="0"/>
          <c:showSerName val="0"/>
          <c:showPercent val="0"/>
          <c:showBubbleSize val="0"/>
        </c:dLbls>
        <c:axId val="143256192"/>
        <c:axId val="143409536"/>
      </c:scatterChart>
      <c:valAx>
        <c:axId val="1432561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409536"/>
        <c:crosses val="autoZero"/>
        <c:crossBetween val="midCat"/>
      </c:valAx>
      <c:valAx>
        <c:axId val="143409536"/>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2561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797919432450655"/>
                  <c:y val="-5.4941767521947529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Uncertanties!$X$11:$X$12</c:f>
              <c:numCache>
                <c:formatCode>General</c:formatCode>
                <c:ptCount val="2"/>
                <c:pt idx="0">
                  <c:v>2020</c:v>
                </c:pt>
                <c:pt idx="1">
                  <c:v>2050</c:v>
                </c:pt>
              </c:numCache>
            </c:numRef>
          </c:xVal>
          <c:yVal>
            <c:numRef>
              <c:f>Uncertanties!$Y$11:$Y$12</c:f>
              <c:numCache>
                <c:formatCode>0.000</c:formatCode>
                <c:ptCount val="2"/>
                <c:pt idx="0">
                  <c:v>-0.10000000000000009</c:v>
                </c:pt>
                <c:pt idx="1">
                  <c:v>-0.5</c:v>
                </c:pt>
              </c:numCache>
            </c:numRef>
          </c:yVal>
          <c:smooth val="1"/>
          <c:extLst>
            <c:ext xmlns:c16="http://schemas.microsoft.com/office/drawing/2014/chart" uri="{C3380CC4-5D6E-409C-BE32-E72D297353CC}">
              <c16:uniqueId val="{00000000-3AB2-427B-99A2-C3BC4E3AE9C9}"/>
            </c:ext>
          </c:extLst>
        </c:ser>
        <c:dLbls>
          <c:showLegendKey val="0"/>
          <c:showVal val="0"/>
          <c:showCatName val="0"/>
          <c:showSerName val="0"/>
          <c:showPercent val="0"/>
          <c:showBubbleSize val="0"/>
        </c:dLbls>
        <c:axId val="143464320"/>
        <c:axId val="143465856"/>
      </c:scatterChart>
      <c:valAx>
        <c:axId val="143464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465856"/>
        <c:crosses val="autoZero"/>
        <c:crossBetween val="midCat"/>
      </c:valAx>
      <c:valAx>
        <c:axId val="14346585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464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1.4957381288873326E-3"/>
                  <c:y val="0.63136703039785214"/>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Uncertanties!$X$11:$X$12</c:f>
              <c:numCache>
                <c:formatCode>General</c:formatCode>
                <c:ptCount val="2"/>
                <c:pt idx="0">
                  <c:v>2020</c:v>
                </c:pt>
                <c:pt idx="1">
                  <c:v>2050</c:v>
                </c:pt>
              </c:numCache>
            </c:numRef>
          </c:xVal>
          <c:yVal>
            <c:numRef>
              <c:f>Uncertanties!$Z$11:$Z$12</c:f>
              <c:numCache>
                <c:formatCode>0.000</c:formatCode>
                <c:ptCount val="2"/>
                <c:pt idx="0">
                  <c:v>9.999999999999995E-2</c:v>
                </c:pt>
                <c:pt idx="1">
                  <c:v>1.7500000000000002</c:v>
                </c:pt>
              </c:numCache>
            </c:numRef>
          </c:yVal>
          <c:smooth val="1"/>
          <c:extLst>
            <c:ext xmlns:c16="http://schemas.microsoft.com/office/drawing/2014/chart" uri="{C3380CC4-5D6E-409C-BE32-E72D297353CC}">
              <c16:uniqueId val="{00000000-8C44-4F3E-8C20-84D2F28AE4EE}"/>
            </c:ext>
          </c:extLst>
        </c:ser>
        <c:dLbls>
          <c:showLegendKey val="0"/>
          <c:showVal val="0"/>
          <c:showCatName val="0"/>
          <c:showSerName val="0"/>
          <c:showPercent val="0"/>
          <c:showBubbleSize val="0"/>
        </c:dLbls>
        <c:axId val="143881344"/>
        <c:axId val="143882880"/>
      </c:scatterChart>
      <c:valAx>
        <c:axId val="143881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882880"/>
        <c:crosses val="autoZero"/>
        <c:crossBetween val="midCat"/>
      </c:valAx>
      <c:valAx>
        <c:axId val="14388288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8813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3708034580340165"/>
                  <c:y val="-0.13270705946102315"/>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Uncertanties!$R$14:$R$15</c:f>
              <c:numCache>
                <c:formatCode>General</c:formatCode>
                <c:ptCount val="2"/>
                <c:pt idx="0">
                  <c:v>2020</c:v>
                </c:pt>
                <c:pt idx="1">
                  <c:v>2050</c:v>
                </c:pt>
              </c:numCache>
            </c:numRef>
          </c:xVal>
          <c:yVal>
            <c:numRef>
              <c:f>Uncertanties!$S$14:$S$15</c:f>
              <c:numCache>
                <c:formatCode>0.000</c:formatCode>
                <c:ptCount val="2"/>
                <c:pt idx="0">
                  <c:v>-0.16666666666666671</c:v>
                </c:pt>
                <c:pt idx="1">
                  <c:v>-0.25925925925925924</c:v>
                </c:pt>
              </c:numCache>
            </c:numRef>
          </c:yVal>
          <c:smooth val="1"/>
          <c:extLst>
            <c:ext xmlns:c16="http://schemas.microsoft.com/office/drawing/2014/chart" uri="{C3380CC4-5D6E-409C-BE32-E72D297353CC}">
              <c16:uniqueId val="{00000000-4EAE-414C-9330-9662901D9C60}"/>
            </c:ext>
          </c:extLst>
        </c:ser>
        <c:dLbls>
          <c:showLegendKey val="0"/>
          <c:showVal val="0"/>
          <c:showCatName val="0"/>
          <c:showSerName val="0"/>
          <c:showPercent val="0"/>
          <c:showBubbleSize val="0"/>
        </c:dLbls>
        <c:axId val="144023936"/>
        <c:axId val="144025472"/>
      </c:scatterChart>
      <c:valAx>
        <c:axId val="144023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4025472"/>
        <c:crosses val="autoZero"/>
        <c:crossBetween val="midCat"/>
      </c:valAx>
      <c:valAx>
        <c:axId val="144025472"/>
        <c:scaling>
          <c:orientation val="minMax"/>
          <c:max val="-0.150000000000000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4023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525166553753417"/>
                  <c:y val="-7.6644363839570379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Uncertanties!$U$14:$U$15</c:f>
              <c:numCache>
                <c:formatCode>General</c:formatCode>
                <c:ptCount val="2"/>
                <c:pt idx="0">
                  <c:v>2020</c:v>
                </c:pt>
                <c:pt idx="1">
                  <c:v>2050</c:v>
                </c:pt>
              </c:numCache>
            </c:numRef>
          </c:xVal>
          <c:yVal>
            <c:numRef>
              <c:f>Uncertanties!$V$14:$V$15</c:f>
              <c:numCache>
                <c:formatCode>0.000</c:formatCode>
                <c:ptCount val="2"/>
                <c:pt idx="0">
                  <c:v>-0.8</c:v>
                </c:pt>
                <c:pt idx="1">
                  <c:v>-0.8125</c:v>
                </c:pt>
              </c:numCache>
            </c:numRef>
          </c:yVal>
          <c:smooth val="1"/>
          <c:extLst>
            <c:ext xmlns:c16="http://schemas.microsoft.com/office/drawing/2014/chart" uri="{C3380CC4-5D6E-409C-BE32-E72D297353CC}">
              <c16:uniqueId val="{00000000-2DC4-4C6C-9025-D5E573095795}"/>
            </c:ext>
          </c:extLst>
        </c:ser>
        <c:dLbls>
          <c:showLegendKey val="0"/>
          <c:showVal val="0"/>
          <c:showCatName val="0"/>
          <c:showSerName val="0"/>
          <c:showPercent val="0"/>
          <c:showBubbleSize val="0"/>
        </c:dLbls>
        <c:axId val="109632896"/>
        <c:axId val="109634688"/>
      </c:scatterChart>
      <c:valAx>
        <c:axId val="109632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34688"/>
        <c:crosses val="autoZero"/>
        <c:crossBetween val="midCat"/>
      </c:valAx>
      <c:valAx>
        <c:axId val="10963468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32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9568501724410374E-2"/>
                  <c:y val="0.61942467032421844"/>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Uncertanties!$U$2:$U$3</c:f>
              <c:numCache>
                <c:formatCode>General</c:formatCode>
                <c:ptCount val="2"/>
                <c:pt idx="0">
                  <c:v>2020</c:v>
                </c:pt>
                <c:pt idx="1">
                  <c:v>2050</c:v>
                </c:pt>
              </c:numCache>
            </c:numRef>
          </c:xVal>
          <c:yVal>
            <c:numRef>
              <c:f>Uncertanties!$V$2:$V$3</c:f>
              <c:numCache>
                <c:formatCode>0.000</c:formatCode>
                <c:ptCount val="2"/>
                <c:pt idx="0">
                  <c:v>-0.1111111111111111</c:v>
                </c:pt>
                <c:pt idx="1">
                  <c:v>-8.3333333333333329E-2</c:v>
                </c:pt>
              </c:numCache>
            </c:numRef>
          </c:yVal>
          <c:smooth val="1"/>
          <c:extLst>
            <c:ext xmlns:c16="http://schemas.microsoft.com/office/drawing/2014/chart" uri="{C3380CC4-5D6E-409C-BE32-E72D297353CC}">
              <c16:uniqueId val="{00000000-9D3B-462E-AD4E-4C7698782FD3}"/>
            </c:ext>
          </c:extLst>
        </c:ser>
        <c:dLbls>
          <c:showLegendKey val="0"/>
          <c:showVal val="0"/>
          <c:showCatName val="0"/>
          <c:showSerName val="0"/>
          <c:showPercent val="0"/>
          <c:showBubbleSize val="0"/>
        </c:dLbls>
        <c:axId val="128946944"/>
        <c:axId val="133660672"/>
      </c:scatterChart>
      <c:valAx>
        <c:axId val="128946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660672"/>
        <c:crosses val="autoZero"/>
        <c:crossBetween val="midCat"/>
      </c:valAx>
      <c:valAx>
        <c:axId val="133660672"/>
        <c:scaling>
          <c:orientation val="minMax"/>
          <c:max val="-8.0000000000000016E-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89469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5887608203160949"/>
                  <c:y val="-6.9701915730626438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Uncertanties!$U$14:$U$15</c:f>
              <c:numCache>
                <c:formatCode>General</c:formatCode>
                <c:ptCount val="2"/>
                <c:pt idx="0">
                  <c:v>2020</c:v>
                </c:pt>
                <c:pt idx="1">
                  <c:v>2050</c:v>
                </c:pt>
              </c:numCache>
            </c:numRef>
          </c:xVal>
          <c:yVal>
            <c:numRef>
              <c:f>Uncertanties!$W$14:$W$15</c:f>
              <c:numCache>
                <c:formatCode>0.000</c:formatCode>
                <c:ptCount val="2"/>
                <c:pt idx="0">
                  <c:v>1.7999999999999998</c:v>
                </c:pt>
                <c:pt idx="1">
                  <c:v>0.56249999999999989</c:v>
                </c:pt>
              </c:numCache>
            </c:numRef>
          </c:yVal>
          <c:smooth val="1"/>
          <c:extLst>
            <c:ext xmlns:c16="http://schemas.microsoft.com/office/drawing/2014/chart" uri="{C3380CC4-5D6E-409C-BE32-E72D297353CC}">
              <c16:uniqueId val="{00000000-05C6-4BC6-8E85-368C0C635456}"/>
            </c:ext>
          </c:extLst>
        </c:ser>
        <c:dLbls>
          <c:showLegendKey val="0"/>
          <c:showVal val="0"/>
          <c:showCatName val="0"/>
          <c:showSerName val="0"/>
          <c:showPercent val="0"/>
          <c:showBubbleSize val="0"/>
        </c:dLbls>
        <c:axId val="108305024"/>
        <c:axId val="108306816"/>
      </c:scatterChart>
      <c:valAx>
        <c:axId val="108305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306816"/>
        <c:crosses val="autoZero"/>
        <c:crossBetween val="midCat"/>
      </c:valAx>
      <c:valAx>
        <c:axId val="108306816"/>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3050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3207048750496511"/>
                  <c:y val="-1.8051187843162873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Uncertanties!$X$14:$X$15</c:f>
              <c:numCache>
                <c:formatCode>General</c:formatCode>
                <c:ptCount val="2"/>
                <c:pt idx="0">
                  <c:v>2020</c:v>
                </c:pt>
                <c:pt idx="1">
                  <c:v>2050</c:v>
                </c:pt>
              </c:numCache>
            </c:numRef>
          </c:xVal>
          <c:yVal>
            <c:numRef>
              <c:f>Uncertanties!$Y$14:$Y$15</c:f>
              <c:numCache>
                <c:formatCode>0.000</c:formatCode>
                <c:ptCount val="2"/>
                <c:pt idx="0">
                  <c:v>-0.31034482758620691</c:v>
                </c:pt>
                <c:pt idx="1">
                  <c:v>-0.38666666666666666</c:v>
                </c:pt>
              </c:numCache>
            </c:numRef>
          </c:yVal>
          <c:smooth val="1"/>
          <c:extLst>
            <c:ext xmlns:c16="http://schemas.microsoft.com/office/drawing/2014/chart" uri="{C3380CC4-5D6E-409C-BE32-E72D297353CC}">
              <c16:uniqueId val="{00000000-6591-49FD-B7BF-25A7D81F9F06}"/>
            </c:ext>
          </c:extLst>
        </c:ser>
        <c:dLbls>
          <c:showLegendKey val="0"/>
          <c:showVal val="0"/>
          <c:showCatName val="0"/>
          <c:showSerName val="0"/>
          <c:showPercent val="0"/>
          <c:showBubbleSize val="0"/>
        </c:dLbls>
        <c:axId val="109103360"/>
        <c:axId val="109109248"/>
      </c:scatterChart>
      <c:valAx>
        <c:axId val="109103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109248"/>
        <c:crosses val="autoZero"/>
        <c:crossBetween val="midCat"/>
      </c:valAx>
      <c:valAx>
        <c:axId val="109109248"/>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1033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6087675661176065E-2"/>
                  <c:y val="0.57088627861908636"/>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Uncertanties!$X$14:$X$15</c:f>
              <c:numCache>
                <c:formatCode>General</c:formatCode>
                <c:ptCount val="2"/>
                <c:pt idx="0">
                  <c:v>2020</c:v>
                </c:pt>
                <c:pt idx="1">
                  <c:v>2050</c:v>
                </c:pt>
              </c:numCache>
            </c:numRef>
          </c:xVal>
          <c:yVal>
            <c:numRef>
              <c:f>Uncertanties!$Z$14:$Z$15</c:f>
              <c:numCache>
                <c:formatCode>0.000</c:formatCode>
                <c:ptCount val="2"/>
                <c:pt idx="0">
                  <c:v>0.11637931034482757</c:v>
                </c:pt>
                <c:pt idx="1">
                  <c:v>1.3466666666666667</c:v>
                </c:pt>
              </c:numCache>
            </c:numRef>
          </c:yVal>
          <c:smooth val="1"/>
          <c:extLst>
            <c:ext xmlns:c16="http://schemas.microsoft.com/office/drawing/2014/chart" uri="{C3380CC4-5D6E-409C-BE32-E72D297353CC}">
              <c16:uniqueId val="{00000000-C708-4A81-973F-26D05C2B7F5E}"/>
            </c:ext>
          </c:extLst>
        </c:ser>
        <c:dLbls>
          <c:showLegendKey val="0"/>
          <c:showVal val="0"/>
          <c:showCatName val="0"/>
          <c:showSerName val="0"/>
          <c:showPercent val="0"/>
          <c:showBubbleSize val="0"/>
        </c:dLbls>
        <c:axId val="108496384"/>
        <c:axId val="108497920"/>
      </c:scatterChart>
      <c:valAx>
        <c:axId val="108496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497920"/>
        <c:crosses val="autoZero"/>
        <c:crossBetween val="midCat"/>
      </c:valAx>
      <c:valAx>
        <c:axId val="10849792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496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3070672311147893"/>
                  <c:y val="-4.249127092874948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Uncertanties!$R$17:$R$18</c:f>
              <c:numCache>
                <c:formatCode>General</c:formatCode>
                <c:ptCount val="2"/>
                <c:pt idx="0">
                  <c:v>2020</c:v>
                </c:pt>
                <c:pt idx="1">
                  <c:v>2050</c:v>
                </c:pt>
              </c:numCache>
            </c:numRef>
          </c:xVal>
          <c:yVal>
            <c:numRef>
              <c:f>Uncertanties!$S$17:$S$18</c:f>
              <c:numCache>
                <c:formatCode>0.000</c:formatCode>
                <c:ptCount val="2"/>
                <c:pt idx="0">
                  <c:v>-0.1111111111111112</c:v>
                </c:pt>
                <c:pt idx="1">
                  <c:v>-0.33333333333333331</c:v>
                </c:pt>
              </c:numCache>
            </c:numRef>
          </c:yVal>
          <c:smooth val="1"/>
          <c:extLst>
            <c:ext xmlns:c16="http://schemas.microsoft.com/office/drawing/2014/chart" uri="{C3380CC4-5D6E-409C-BE32-E72D297353CC}">
              <c16:uniqueId val="{00000000-DDC2-4DED-AE91-58C457129EAE}"/>
            </c:ext>
          </c:extLst>
        </c:ser>
        <c:dLbls>
          <c:showLegendKey val="0"/>
          <c:showVal val="0"/>
          <c:showCatName val="0"/>
          <c:showSerName val="0"/>
          <c:showPercent val="0"/>
          <c:showBubbleSize val="0"/>
        </c:dLbls>
        <c:axId val="109560576"/>
        <c:axId val="109562112"/>
      </c:scatterChart>
      <c:valAx>
        <c:axId val="109560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562112"/>
        <c:crosses val="autoZero"/>
        <c:crossBetween val="midCat"/>
      </c:valAx>
      <c:valAx>
        <c:axId val="109562112"/>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5605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4580320836848682E-2"/>
                  <c:y val="0.55364419287006139"/>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Uncertanties!$R$17:$R$18</c:f>
              <c:numCache>
                <c:formatCode>General</c:formatCode>
                <c:ptCount val="2"/>
                <c:pt idx="0">
                  <c:v>2020</c:v>
                </c:pt>
                <c:pt idx="1">
                  <c:v>2050</c:v>
                </c:pt>
              </c:numCache>
            </c:numRef>
          </c:xVal>
          <c:yVal>
            <c:numRef>
              <c:f>Uncertanties!$T$17:$T$18</c:f>
              <c:numCache>
                <c:formatCode>0.000</c:formatCode>
                <c:ptCount val="2"/>
                <c:pt idx="0">
                  <c:v>0.88888888888888884</c:v>
                </c:pt>
                <c:pt idx="1">
                  <c:v>3.166666666666667</c:v>
                </c:pt>
              </c:numCache>
            </c:numRef>
          </c:yVal>
          <c:smooth val="1"/>
          <c:extLst>
            <c:ext xmlns:c16="http://schemas.microsoft.com/office/drawing/2014/chart" uri="{C3380CC4-5D6E-409C-BE32-E72D297353CC}">
              <c16:uniqueId val="{00000000-A349-4FD6-BDD8-A3BAA878F172}"/>
            </c:ext>
          </c:extLst>
        </c:ser>
        <c:dLbls>
          <c:showLegendKey val="0"/>
          <c:showVal val="0"/>
          <c:showCatName val="0"/>
          <c:showSerName val="0"/>
          <c:showPercent val="0"/>
          <c:showBubbleSize val="0"/>
        </c:dLbls>
        <c:axId val="109137920"/>
        <c:axId val="109139456"/>
      </c:scatterChart>
      <c:valAx>
        <c:axId val="109137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139456"/>
        <c:crosses val="autoZero"/>
        <c:crossBetween val="midCat"/>
      </c:valAx>
      <c:valAx>
        <c:axId val="109139456"/>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1379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0571376475321931"/>
                  <c:y val="-0.1340799166445481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Uncertanties!$U$17:$U$18</c:f>
              <c:numCache>
                <c:formatCode>General</c:formatCode>
                <c:ptCount val="2"/>
                <c:pt idx="0">
                  <c:v>2020</c:v>
                </c:pt>
                <c:pt idx="1">
                  <c:v>2050</c:v>
                </c:pt>
              </c:numCache>
            </c:numRef>
          </c:xVal>
          <c:yVal>
            <c:numRef>
              <c:f>Uncertanties!$V$17:$V$18</c:f>
              <c:numCache>
                <c:formatCode>0.000</c:formatCode>
                <c:ptCount val="2"/>
                <c:pt idx="0">
                  <c:v>-0.15151515151515146</c:v>
                </c:pt>
                <c:pt idx="1">
                  <c:v>-0.375</c:v>
                </c:pt>
              </c:numCache>
            </c:numRef>
          </c:yVal>
          <c:smooth val="1"/>
          <c:extLst>
            <c:ext xmlns:c16="http://schemas.microsoft.com/office/drawing/2014/chart" uri="{C3380CC4-5D6E-409C-BE32-E72D297353CC}">
              <c16:uniqueId val="{00000000-D863-4FD5-AFA9-AC0966A7401C}"/>
            </c:ext>
          </c:extLst>
        </c:ser>
        <c:dLbls>
          <c:showLegendKey val="0"/>
          <c:showVal val="0"/>
          <c:showCatName val="0"/>
          <c:showSerName val="0"/>
          <c:showPercent val="0"/>
          <c:showBubbleSize val="0"/>
        </c:dLbls>
        <c:axId val="109742720"/>
        <c:axId val="109748608"/>
      </c:scatterChart>
      <c:valAx>
        <c:axId val="109742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748608"/>
        <c:crosses val="autoZero"/>
        <c:crossBetween val="midCat"/>
      </c:valAx>
      <c:valAx>
        <c:axId val="109748608"/>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742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9578912508500708E-2"/>
                  <c:y val="0.5757088035474773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Uncertanties!$U$17:$U$18</c:f>
              <c:numCache>
                <c:formatCode>General</c:formatCode>
                <c:ptCount val="2"/>
                <c:pt idx="0">
                  <c:v>2020</c:v>
                </c:pt>
                <c:pt idx="1">
                  <c:v>2050</c:v>
                </c:pt>
              </c:numCache>
            </c:numRef>
          </c:xVal>
          <c:yVal>
            <c:numRef>
              <c:f>Uncertanties!$W$17:$W$18</c:f>
              <c:numCache>
                <c:formatCode>0.000</c:formatCode>
                <c:ptCount val="2"/>
                <c:pt idx="0">
                  <c:v>0.75757575757575735</c:v>
                </c:pt>
                <c:pt idx="1">
                  <c:v>2.8749999999999996</c:v>
                </c:pt>
              </c:numCache>
            </c:numRef>
          </c:yVal>
          <c:smooth val="1"/>
          <c:extLst>
            <c:ext xmlns:c16="http://schemas.microsoft.com/office/drawing/2014/chart" uri="{C3380CC4-5D6E-409C-BE32-E72D297353CC}">
              <c16:uniqueId val="{00000000-9BE7-4DE0-B673-B41DD4DAD078}"/>
            </c:ext>
          </c:extLst>
        </c:ser>
        <c:dLbls>
          <c:showLegendKey val="0"/>
          <c:showVal val="0"/>
          <c:showCatName val="0"/>
          <c:showSerName val="0"/>
          <c:showPercent val="0"/>
          <c:showBubbleSize val="0"/>
        </c:dLbls>
        <c:axId val="109647744"/>
        <c:axId val="109649280"/>
      </c:scatterChart>
      <c:valAx>
        <c:axId val="109647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49280"/>
        <c:crosses val="autoZero"/>
        <c:crossBetween val="midCat"/>
      </c:valAx>
      <c:valAx>
        <c:axId val="109649280"/>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477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5661824658771653"/>
                  <c:y val="-5.4758621166288497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Uncertanties!$X$17:$X$18</c:f>
              <c:numCache>
                <c:formatCode>General</c:formatCode>
                <c:ptCount val="2"/>
                <c:pt idx="0">
                  <c:v>2020</c:v>
                </c:pt>
                <c:pt idx="1">
                  <c:v>2050</c:v>
                </c:pt>
              </c:numCache>
            </c:numRef>
          </c:xVal>
          <c:yVal>
            <c:numRef>
              <c:f>Uncertanties!$Y$17:$Y$18</c:f>
              <c:numCache>
                <c:formatCode>0.000</c:formatCode>
                <c:ptCount val="2"/>
                <c:pt idx="0">
                  <c:v>-0.2857142857142857</c:v>
                </c:pt>
                <c:pt idx="1">
                  <c:v>-0.6</c:v>
                </c:pt>
              </c:numCache>
            </c:numRef>
          </c:yVal>
          <c:smooth val="1"/>
          <c:extLst>
            <c:ext xmlns:c16="http://schemas.microsoft.com/office/drawing/2014/chart" uri="{C3380CC4-5D6E-409C-BE32-E72D297353CC}">
              <c16:uniqueId val="{00000000-6363-48FA-9BED-29A9E1E07E5F}"/>
            </c:ext>
          </c:extLst>
        </c:ser>
        <c:dLbls>
          <c:showLegendKey val="0"/>
          <c:showVal val="0"/>
          <c:showCatName val="0"/>
          <c:showSerName val="0"/>
          <c:showPercent val="0"/>
          <c:showBubbleSize val="0"/>
        </c:dLbls>
        <c:axId val="108434560"/>
        <c:axId val="108436096"/>
      </c:scatterChart>
      <c:valAx>
        <c:axId val="108434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436096"/>
        <c:crosses val="autoZero"/>
        <c:crossBetween val="midCat"/>
      </c:valAx>
      <c:valAx>
        <c:axId val="10843609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4345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3216556443362699E-2"/>
                  <c:y val="0.56769413472561858"/>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Uncertanties!$X$17:$X$18</c:f>
              <c:numCache>
                <c:formatCode>General</c:formatCode>
                <c:ptCount val="2"/>
                <c:pt idx="0">
                  <c:v>2020</c:v>
                </c:pt>
                <c:pt idx="1">
                  <c:v>2050</c:v>
                </c:pt>
              </c:numCache>
            </c:numRef>
          </c:xVal>
          <c:yVal>
            <c:numRef>
              <c:f>Uncertanties!$Z$17:$Z$18</c:f>
              <c:numCache>
                <c:formatCode>0.000</c:formatCode>
                <c:ptCount val="2"/>
                <c:pt idx="0">
                  <c:v>0.14285714285714285</c:v>
                </c:pt>
                <c:pt idx="1">
                  <c:v>0.4</c:v>
                </c:pt>
              </c:numCache>
            </c:numRef>
          </c:yVal>
          <c:smooth val="1"/>
          <c:extLst>
            <c:ext xmlns:c16="http://schemas.microsoft.com/office/drawing/2014/chart" uri="{C3380CC4-5D6E-409C-BE32-E72D297353CC}">
              <c16:uniqueId val="{00000000-DAFB-47BD-AFD7-927E1A34DB97}"/>
            </c:ext>
          </c:extLst>
        </c:ser>
        <c:dLbls>
          <c:showLegendKey val="0"/>
          <c:showVal val="0"/>
          <c:showCatName val="0"/>
          <c:showSerName val="0"/>
          <c:showPercent val="0"/>
          <c:showBubbleSize val="0"/>
        </c:dLbls>
        <c:axId val="108016384"/>
        <c:axId val="108017920"/>
      </c:scatterChart>
      <c:valAx>
        <c:axId val="108016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017920"/>
        <c:crosses val="autoZero"/>
        <c:crossBetween val="midCat"/>
      </c:valAx>
      <c:valAx>
        <c:axId val="108017920"/>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016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7253822003404254"/>
                  <c:y val="-0.1622270267744175"/>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Uncertanties!$R$20:$R$21</c:f>
              <c:numCache>
                <c:formatCode>General</c:formatCode>
                <c:ptCount val="2"/>
                <c:pt idx="0">
                  <c:v>2020</c:v>
                </c:pt>
                <c:pt idx="1">
                  <c:v>2050</c:v>
                </c:pt>
              </c:numCache>
            </c:numRef>
          </c:xVal>
          <c:yVal>
            <c:numRef>
              <c:f>Uncertanties!$S$20:$S$21</c:f>
              <c:numCache>
                <c:formatCode>0.000</c:formatCode>
                <c:ptCount val="2"/>
                <c:pt idx="0">
                  <c:v>-7.6190476190476197E-2</c:v>
                </c:pt>
                <c:pt idx="1">
                  <c:v>-0.28229665071770332</c:v>
                </c:pt>
              </c:numCache>
            </c:numRef>
          </c:yVal>
          <c:smooth val="1"/>
          <c:extLst>
            <c:ext xmlns:c16="http://schemas.microsoft.com/office/drawing/2014/chart" uri="{C3380CC4-5D6E-409C-BE32-E72D297353CC}">
              <c16:uniqueId val="{00000000-668B-44C7-8DAF-C026E89F9DBD}"/>
            </c:ext>
          </c:extLst>
        </c:ser>
        <c:dLbls>
          <c:showLegendKey val="0"/>
          <c:showVal val="0"/>
          <c:showCatName val="0"/>
          <c:showSerName val="0"/>
          <c:showPercent val="0"/>
          <c:showBubbleSize val="0"/>
        </c:dLbls>
        <c:axId val="119635328"/>
        <c:axId val="119645312"/>
      </c:scatterChart>
      <c:valAx>
        <c:axId val="119635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9645312"/>
        <c:crosses val="autoZero"/>
        <c:crossBetween val="midCat"/>
      </c:valAx>
      <c:valAx>
        <c:axId val="11964531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96353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1399142804279626E-2"/>
                  <c:y val="0.56863537206108106"/>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Uncertanties!$X$2:$X$3</c:f>
              <c:numCache>
                <c:formatCode>General</c:formatCode>
                <c:ptCount val="2"/>
                <c:pt idx="0">
                  <c:v>2020</c:v>
                </c:pt>
                <c:pt idx="1">
                  <c:v>2050</c:v>
                </c:pt>
              </c:numCache>
            </c:numRef>
          </c:xVal>
          <c:yVal>
            <c:numRef>
              <c:f>Uncertanties!$Z$2:$Z$3</c:f>
              <c:numCache>
                <c:formatCode>0.000</c:formatCode>
                <c:ptCount val="2"/>
                <c:pt idx="0">
                  <c:v>1.098901098901099E-2</c:v>
                </c:pt>
                <c:pt idx="1">
                  <c:v>2.1739130434782608E-2</c:v>
                </c:pt>
              </c:numCache>
            </c:numRef>
          </c:yVal>
          <c:smooth val="1"/>
          <c:extLst>
            <c:ext xmlns:c16="http://schemas.microsoft.com/office/drawing/2014/chart" uri="{C3380CC4-5D6E-409C-BE32-E72D297353CC}">
              <c16:uniqueId val="{00000000-4B68-4150-B19C-D25660F42A6E}"/>
            </c:ext>
          </c:extLst>
        </c:ser>
        <c:dLbls>
          <c:showLegendKey val="0"/>
          <c:showVal val="0"/>
          <c:showCatName val="0"/>
          <c:showSerName val="0"/>
          <c:showPercent val="0"/>
          <c:showBubbleSize val="0"/>
        </c:dLbls>
        <c:axId val="133489024"/>
        <c:axId val="133490560"/>
      </c:scatterChart>
      <c:valAx>
        <c:axId val="133489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490560"/>
        <c:crosses val="autoZero"/>
        <c:crossBetween val="midCat"/>
      </c:valAx>
      <c:valAx>
        <c:axId val="133490560"/>
        <c:scaling>
          <c:orientation val="minMax"/>
          <c:min val="5.000000000000001E-3"/>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4890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548761932804214E-2"/>
                  <c:y val="0.46416888825554659"/>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Uncertanties!$R$20:$R$21</c:f>
              <c:numCache>
                <c:formatCode>General</c:formatCode>
                <c:ptCount val="2"/>
                <c:pt idx="0">
                  <c:v>2020</c:v>
                </c:pt>
                <c:pt idx="1">
                  <c:v>2050</c:v>
                </c:pt>
              </c:numCache>
            </c:numRef>
          </c:xVal>
          <c:yVal>
            <c:numRef>
              <c:f>Uncertanties!$T$20:$T$21</c:f>
              <c:numCache>
                <c:formatCode>0.000</c:formatCode>
                <c:ptCount val="2"/>
                <c:pt idx="0">
                  <c:v>0.33333333333333331</c:v>
                </c:pt>
                <c:pt idx="1">
                  <c:v>0.4354066985645933</c:v>
                </c:pt>
              </c:numCache>
            </c:numRef>
          </c:yVal>
          <c:smooth val="1"/>
          <c:extLst>
            <c:ext xmlns:c16="http://schemas.microsoft.com/office/drawing/2014/chart" uri="{C3380CC4-5D6E-409C-BE32-E72D297353CC}">
              <c16:uniqueId val="{00000000-1A92-49C3-B96F-B0BD34576005}"/>
            </c:ext>
          </c:extLst>
        </c:ser>
        <c:dLbls>
          <c:showLegendKey val="0"/>
          <c:showVal val="0"/>
          <c:showCatName val="0"/>
          <c:showSerName val="0"/>
          <c:showPercent val="0"/>
          <c:showBubbleSize val="0"/>
        </c:dLbls>
        <c:axId val="131148416"/>
        <c:axId val="131154304"/>
      </c:scatterChart>
      <c:valAx>
        <c:axId val="131148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154304"/>
        <c:crosses val="autoZero"/>
        <c:crossBetween val="midCat"/>
      </c:valAx>
      <c:valAx>
        <c:axId val="131154304"/>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148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084412935401917"/>
                  <c:y val="-0.11208343048756587"/>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Uncertanties!$U$20:$U$21</c:f>
              <c:numCache>
                <c:formatCode>General</c:formatCode>
                <c:ptCount val="2"/>
                <c:pt idx="0">
                  <c:v>2020</c:v>
                </c:pt>
                <c:pt idx="1">
                  <c:v>2050</c:v>
                </c:pt>
              </c:numCache>
            </c:numRef>
          </c:xVal>
          <c:yVal>
            <c:numRef>
              <c:f>Uncertanties!$V$20:$V$21</c:f>
              <c:numCache>
                <c:formatCode>0.000</c:formatCode>
                <c:ptCount val="2"/>
                <c:pt idx="0">
                  <c:v>-6.9230769230769235E-2</c:v>
                </c:pt>
                <c:pt idx="1">
                  <c:v>-0.33461538461538459</c:v>
                </c:pt>
              </c:numCache>
            </c:numRef>
          </c:yVal>
          <c:smooth val="1"/>
          <c:extLst>
            <c:ext xmlns:c16="http://schemas.microsoft.com/office/drawing/2014/chart" uri="{C3380CC4-5D6E-409C-BE32-E72D297353CC}">
              <c16:uniqueId val="{00000000-6B09-4AF6-8038-396DF5579C9E}"/>
            </c:ext>
          </c:extLst>
        </c:ser>
        <c:dLbls>
          <c:showLegendKey val="0"/>
          <c:showVal val="0"/>
          <c:showCatName val="0"/>
          <c:showSerName val="0"/>
          <c:showPercent val="0"/>
          <c:showBubbleSize val="0"/>
        </c:dLbls>
        <c:axId val="131635072"/>
        <c:axId val="131636608"/>
      </c:scatterChart>
      <c:valAx>
        <c:axId val="131635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636608"/>
        <c:crosses val="autoZero"/>
        <c:crossBetween val="midCat"/>
      </c:valAx>
      <c:valAx>
        <c:axId val="13163660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6350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102502572091861"/>
                  <c:y val="-5.061602502638179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Uncertanties!$R$5:$R$6</c:f>
              <c:numCache>
                <c:formatCode>General</c:formatCode>
                <c:ptCount val="2"/>
                <c:pt idx="0">
                  <c:v>2020</c:v>
                </c:pt>
                <c:pt idx="1">
                  <c:v>2050</c:v>
                </c:pt>
              </c:numCache>
            </c:numRef>
          </c:xVal>
          <c:yVal>
            <c:numRef>
              <c:f>Uncertanties!$S$5:$S$6</c:f>
              <c:numCache>
                <c:formatCode>0.000</c:formatCode>
                <c:ptCount val="2"/>
                <c:pt idx="0">
                  <c:v>0</c:v>
                </c:pt>
                <c:pt idx="1">
                  <c:v>-5.076142131979695E-3</c:v>
                </c:pt>
              </c:numCache>
            </c:numRef>
          </c:yVal>
          <c:smooth val="1"/>
          <c:extLst>
            <c:ext xmlns:c16="http://schemas.microsoft.com/office/drawing/2014/chart" uri="{C3380CC4-5D6E-409C-BE32-E72D297353CC}">
              <c16:uniqueId val="{00000000-C7D0-4CCA-A89B-024C52C959C3}"/>
            </c:ext>
          </c:extLst>
        </c:ser>
        <c:dLbls>
          <c:showLegendKey val="0"/>
          <c:showVal val="0"/>
          <c:showCatName val="0"/>
          <c:showSerName val="0"/>
          <c:showPercent val="0"/>
          <c:showBubbleSize val="0"/>
        </c:dLbls>
        <c:axId val="133787008"/>
        <c:axId val="133796992"/>
      </c:scatterChart>
      <c:valAx>
        <c:axId val="133787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796992"/>
        <c:crosses val="autoZero"/>
        <c:crossBetween val="midCat"/>
      </c:valAx>
      <c:valAx>
        <c:axId val="13379699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7870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1141511602896718E-2"/>
                  <c:y val="-3.3610071371131034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Uncertanties!$U$5:$U$6</c:f>
              <c:numCache>
                <c:formatCode>General</c:formatCode>
                <c:ptCount val="2"/>
                <c:pt idx="0">
                  <c:v>2020</c:v>
                </c:pt>
                <c:pt idx="1">
                  <c:v>2050</c:v>
                </c:pt>
              </c:numCache>
            </c:numRef>
          </c:xVal>
          <c:yVal>
            <c:numRef>
              <c:f>Uncertanties!$W$5:$W$6</c:f>
              <c:numCache>
                <c:formatCode>0.000</c:formatCode>
                <c:ptCount val="2"/>
                <c:pt idx="0">
                  <c:v>1</c:v>
                </c:pt>
                <c:pt idx="1">
                  <c:v>0.49999999999999989</c:v>
                </c:pt>
              </c:numCache>
            </c:numRef>
          </c:yVal>
          <c:smooth val="1"/>
          <c:extLst>
            <c:ext xmlns:c16="http://schemas.microsoft.com/office/drawing/2014/chart" uri="{C3380CC4-5D6E-409C-BE32-E72D297353CC}">
              <c16:uniqueId val="{00000000-6296-4219-B2AA-67A71BAE0BEA}"/>
            </c:ext>
          </c:extLst>
        </c:ser>
        <c:dLbls>
          <c:showLegendKey val="0"/>
          <c:showVal val="0"/>
          <c:showCatName val="0"/>
          <c:showSerName val="0"/>
          <c:showPercent val="0"/>
          <c:showBubbleSize val="0"/>
        </c:dLbls>
        <c:axId val="139590272"/>
        <c:axId val="140448128"/>
      </c:scatterChart>
      <c:valAx>
        <c:axId val="139590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448128"/>
        <c:crosses val="autoZero"/>
        <c:crossBetween val="midCat"/>
      </c:valAx>
      <c:valAx>
        <c:axId val="140448128"/>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95902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8424393600014777E-2"/>
                  <c:y val="6.4903415391567076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Uncertanties!$X$5:$X$6</c:f>
              <c:numCache>
                <c:formatCode>General</c:formatCode>
                <c:ptCount val="2"/>
                <c:pt idx="0">
                  <c:v>2020</c:v>
                </c:pt>
                <c:pt idx="1">
                  <c:v>2050</c:v>
                </c:pt>
              </c:numCache>
            </c:numRef>
          </c:xVal>
          <c:yVal>
            <c:numRef>
              <c:f>Uncertanties!$Y$5:$Y$6</c:f>
              <c:numCache>
                <c:formatCode>0.000</c:formatCode>
                <c:ptCount val="2"/>
                <c:pt idx="0">
                  <c:v>-0.47368421052631576</c:v>
                </c:pt>
                <c:pt idx="1">
                  <c:v>-0.6</c:v>
                </c:pt>
              </c:numCache>
            </c:numRef>
          </c:yVal>
          <c:smooth val="1"/>
          <c:extLst>
            <c:ext xmlns:c16="http://schemas.microsoft.com/office/drawing/2014/chart" uri="{C3380CC4-5D6E-409C-BE32-E72D297353CC}">
              <c16:uniqueId val="{00000000-21C2-4153-BB59-85E929032A9F}"/>
            </c:ext>
          </c:extLst>
        </c:ser>
        <c:dLbls>
          <c:showLegendKey val="0"/>
          <c:showVal val="0"/>
          <c:showCatName val="0"/>
          <c:showSerName val="0"/>
          <c:showPercent val="0"/>
          <c:showBubbleSize val="0"/>
        </c:dLbls>
        <c:axId val="140494720"/>
        <c:axId val="140496256"/>
      </c:scatterChart>
      <c:valAx>
        <c:axId val="140494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496256"/>
        <c:crosses val="autoZero"/>
        <c:crossBetween val="midCat"/>
      </c:valAx>
      <c:valAx>
        <c:axId val="14049625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494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7941238721158398E-4"/>
                  <c:y val="8.6401638147888454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Uncertanties!$X$5:$X$6</c:f>
              <c:numCache>
                <c:formatCode>General</c:formatCode>
                <c:ptCount val="2"/>
                <c:pt idx="0">
                  <c:v>2020</c:v>
                </c:pt>
                <c:pt idx="1">
                  <c:v>2050</c:v>
                </c:pt>
              </c:numCache>
            </c:numRef>
          </c:xVal>
          <c:yVal>
            <c:numRef>
              <c:f>Uncertanties!$Z$5:$Z$6</c:f>
              <c:numCache>
                <c:formatCode>0.000</c:formatCode>
                <c:ptCount val="2"/>
                <c:pt idx="0">
                  <c:v>0.31578947368421051</c:v>
                </c:pt>
                <c:pt idx="1">
                  <c:v>0.19999999999999996</c:v>
                </c:pt>
              </c:numCache>
            </c:numRef>
          </c:yVal>
          <c:smooth val="1"/>
          <c:extLst>
            <c:ext xmlns:c16="http://schemas.microsoft.com/office/drawing/2014/chart" uri="{C3380CC4-5D6E-409C-BE32-E72D297353CC}">
              <c16:uniqueId val="{00000000-582A-4C4D-B9A2-8D649AF7B11E}"/>
            </c:ext>
          </c:extLst>
        </c:ser>
        <c:dLbls>
          <c:showLegendKey val="0"/>
          <c:showVal val="0"/>
          <c:showCatName val="0"/>
          <c:showSerName val="0"/>
          <c:showPercent val="0"/>
          <c:showBubbleSize val="0"/>
        </c:dLbls>
        <c:axId val="140575872"/>
        <c:axId val="140577408"/>
      </c:scatterChart>
      <c:valAx>
        <c:axId val="14057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577408"/>
        <c:crosses val="autoZero"/>
        <c:crossBetween val="midCat"/>
      </c:valAx>
      <c:valAx>
        <c:axId val="140577408"/>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575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5783250159812682E-2"/>
                  <c:y val="0.6351467894180570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Uncertanties!$R$8:$R$9</c:f>
              <c:numCache>
                <c:formatCode>General</c:formatCode>
                <c:ptCount val="2"/>
                <c:pt idx="0">
                  <c:v>2020</c:v>
                </c:pt>
                <c:pt idx="1">
                  <c:v>2050</c:v>
                </c:pt>
              </c:numCache>
            </c:numRef>
          </c:xVal>
          <c:yVal>
            <c:numRef>
              <c:f>Uncertanties!$T$8:$T$9</c:f>
              <c:numCache>
                <c:formatCode>0.000</c:formatCode>
                <c:ptCount val="2"/>
                <c:pt idx="0">
                  <c:v>0.24999999999999994</c:v>
                </c:pt>
                <c:pt idx="1">
                  <c:v>1</c:v>
                </c:pt>
              </c:numCache>
            </c:numRef>
          </c:yVal>
          <c:smooth val="1"/>
          <c:extLst>
            <c:ext xmlns:c16="http://schemas.microsoft.com/office/drawing/2014/chart" uri="{C3380CC4-5D6E-409C-BE32-E72D297353CC}">
              <c16:uniqueId val="{00000000-D22D-47A3-B6C0-2AC69D1EABC7}"/>
            </c:ext>
          </c:extLst>
        </c:ser>
        <c:dLbls>
          <c:showLegendKey val="0"/>
          <c:showVal val="0"/>
          <c:showCatName val="0"/>
          <c:showSerName val="0"/>
          <c:showPercent val="0"/>
          <c:showBubbleSize val="0"/>
        </c:dLbls>
        <c:axId val="140628352"/>
        <c:axId val="140629888"/>
      </c:scatterChart>
      <c:valAx>
        <c:axId val="140628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629888"/>
        <c:crosses val="autoZero"/>
        <c:crossBetween val="midCat"/>
      </c:valAx>
      <c:valAx>
        <c:axId val="140629888"/>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6283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1297778599615849"/>
                  <c:y val="-1.1055753996103737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Uncertanties!$U$8:$U$9</c:f>
              <c:numCache>
                <c:formatCode>General</c:formatCode>
                <c:ptCount val="2"/>
                <c:pt idx="0">
                  <c:v>2020</c:v>
                </c:pt>
                <c:pt idx="1">
                  <c:v>2050</c:v>
                </c:pt>
              </c:numCache>
            </c:numRef>
          </c:xVal>
          <c:yVal>
            <c:numRef>
              <c:f>Uncertanties!$V$8:$V$9</c:f>
              <c:numCache>
                <c:formatCode>0.000</c:formatCode>
                <c:ptCount val="2"/>
                <c:pt idx="0">
                  <c:v>-0.25</c:v>
                </c:pt>
                <c:pt idx="1">
                  <c:v>-0.33333333333333331</c:v>
                </c:pt>
              </c:numCache>
            </c:numRef>
          </c:yVal>
          <c:smooth val="1"/>
          <c:extLst>
            <c:ext xmlns:c16="http://schemas.microsoft.com/office/drawing/2014/chart" uri="{C3380CC4-5D6E-409C-BE32-E72D297353CC}">
              <c16:uniqueId val="{00000000-8E4C-4432-AEDF-496DA5B19E1D}"/>
            </c:ext>
          </c:extLst>
        </c:ser>
        <c:dLbls>
          <c:showLegendKey val="0"/>
          <c:showVal val="0"/>
          <c:showCatName val="0"/>
          <c:showSerName val="0"/>
          <c:showPercent val="0"/>
          <c:showBubbleSize val="0"/>
        </c:dLbls>
        <c:axId val="141102464"/>
        <c:axId val="141104256"/>
      </c:scatterChart>
      <c:valAx>
        <c:axId val="14110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104256"/>
        <c:crosses val="autoZero"/>
        <c:crossBetween val="midCat"/>
      </c:valAx>
      <c:valAx>
        <c:axId val="14110425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1024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1"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zoomScale="121"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21"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21"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21"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21"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21"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21" workbookViewId="0" zoomToFit="1"/>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sheetViews>
    <sheetView zoomScale="121"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sheetViews>
    <sheetView zoomScale="121" workbookViewId="0" zoomToFit="1"/>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21"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sheetViews>
    <sheetView zoomScale="121" workbookViewId="0" zoomToFit="1"/>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sheetViews>
    <sheetView zoomScale="121" workbookViewId="0" zoomToFit="1"/>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800-000000000000}">
  <sheetPr/>
  <sheetViews>
    <sheetView zoomScale="121" workbookViewId="0" zoomToFit="1"/>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sheetViews>
    <sheetView zoomScale="121" workbookViewId="0" zoomToFit="1"/>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sheetViews>
    <sheetView zoomScale="121" workbookViewId="0" zoomToFit="1"/>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B00-000000000000}">
  <sheetPr/>
  <sheetViews>
    <sheetView zoomScale="121" workbookViewId="0" zoomToFit="1"/>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sheetViews>
    <sheetView zoomScale="121" workbookViewId="0" zoomToFit="1"/>
  </sheetViews>
  <pageMargins left="0.7" right="0.7" top="0.75" bottom="0.75" header="0.3" footer="0.3"/>
  <drawing r:id="rId1"/>
</chartsheet>
</file>

<file path=xl/chartsheets/sheet2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sheetViews>
    <sheetView zoomScale="121" workbookViewId="0" zoomToFit="1"/>
  </sheetViews>
  <pageMargins left="0.7" right="0.7" top="0.75" bottom="0.75" header="0.3" footer="0.3"/>
  <drawing r:id="rId1"/>
</chartsheet>
</file>

<file path=xl/chartsheets/sheet2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E00-000000000000}">
  <sheetPr/>
  <sheetViews>
    <sheetView zoomScale="121" workbookViewId="0" zoomToFit="1"/>
  </sheetViews>
  <pageMargins left="0.7" right="0.7" top="0.75" bottom="0.75" header="0.3" footer="0.3"/>
  <drawing r:id="rId1"/>
</chartsheet>
</file>

<file path=xl/chartsheets/sheet2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F00-000000000000}">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zoomToFit="1"/>
  </sheetViews>
  <pageMargins left="0.7" right="0.7" top="0.75" bottom="0.75" header="0.3" footer="0.3"/>
  <drawing r:id="rId1"/>
</chartsheet>
</file>

<file path=xl/chartsheets/sheet3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000-000000000000}">
  <sheetPr/>
  <sheetViews>
    <sheetView zoomScale="121" workbookViewId="0" zoomToFit="1"/>
  </sheetViews>
  <pageMargins left="0.7" right="0.7" top="0.75" bottom="0.75" header="0.3" footer="0.3"/>
  <drawing r:id="rId1"/>
</chartsheet>
</file>

<file path=xl/chartsheets/sheet3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2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21"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21"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21"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21"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623358</xdr:colOff>
      <xdr:row>38</xdr:row>
      <xdr:rowOff>8467</xdr:rowOff>
    </xdr:from>
    <xdr:to>
      <xdr:col>13</xdr:col>
      <xdr:colOff>360773</xdr:colOff>
      <xdr:row>57</xdr:row>
      <xdr:rowOff>17448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417608" y="29366634"/>
          <a:ext cx="13971998" cy="44328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Downloads/Li-Ion%20energy-intensive%20application%20-%20chang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03 Li-Ion Battery power-intens"/>
      <sheetName val="04 Lead-Acid Battery"/>
      <sheetName val="05 Na-S Battery"/>
      <sheetName val="06 Vanadium Redox Flow Battery"/>
      <sheetName val="07 Molten Salt Storage"/>
      <sheetName val="08 CAES"/>
      <sheetName val="09 Supercapacitors"/>
      <sheetName val="10 Flywheel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17"/>
  <sheetViews>
    <sheetView showGridLines="0" tabSelected="1" topLeftCell="A7" zoomScale="80" zoomScaleNormal="80" workbookViewId="0">
      <selection activeCell="B30" sqref="B30"/>
    </sheetView>
  </sheetViews>
  <sheetFormatPr baseColWidth="10" defaultColWidth="6.42578125" defaultRowHeight="18" x14ac:dyDescent="0.35"/>
  <cols>
    <col min="1" max="1" width="3.28515625" style="1" customWidth="1"/>
    <col min="2" max="2" width="60.85546875" style="7" customWidth="1"/>
    <col min="3" max="9" width="10.7109375" style="1" customWidth="1"/>
    <col min="10" max="10" width="8.7109375" style="1" customWidth="1"/>
    <col min="11" max="11" width="18.28515625" style="1" customWidth="1"/>
    <col min="12" max="16384" width="6.42578125" style="1"/>
  </cols>
  <sheetData>
    <row r="2" spans="2:11" ht="20.45" customHeight="1" x14ac:dyDescent="0.35">
      <c r="B2" s="77" t="s">
        <v>13</v>
      </c>
      <c r="C2" s="78"/>
      <c r="D2" s="93" t="s">
        <v>14</v>
      </c>
      <c r="E2" s="93"/>
      <c r="F2" s="93"/>
      <c r="G2" s="93"/>
      <c r="H2" s="93"/>
      <c r="I2" s="93"/>
      <c r="J2" s="93"/>
      <c r="K2" s="93"/>
    </row>
    <row r="3" spans="2:11" ht="14.45" customHeight="1" x14ac:dyDescent="0.35">
      <c r="B3" s="92"/>
      <c r="C3" s="93">
        <v>2020</v>
      </c>
      <c r="D3" s="93">
        <v>2030</v>
      </c>
      <c r="E3" s="93">
        <v>2050</v>
      </c>
      <c r="F3" s="93" t="s">
        <v>15</v>
      </c>
      <c r="G3" s="93"/>
      <c r="H3" s="93" t="s">
        <v>139</v>
      </c>
      <c r="I3" s="93"/>
      <c r="J3" s="93" t="s">
        <v>16</v>
      </c>
      <c r="K3" s="93" t="s">
        <v>17</v>
      </c>
    </row>
    <row r="4" spans="2:11" ht="15" customHeight="1" x14ac:dyDescent="0.35">
      <c r="B4" s="92"/>
      <c r="C4" s="93"/>
      <c r="D4" s="93"/>
      <c r="E4" s="93"/>
      <c r="F4" s="93"/>
      <c r="G4" s="93"/>
      <c r="H4" s="93"/>
      <c r="I4" s="93"/>
      <c r="J4" s="93"/>
      <c r="K4" s="93"/>
    </row>
    <row r="5" spans="2:11" ht="18" customHeight="1" x14ac:dyDescent="0.35">
      <c r="B5" s="77" t="s">
        <v>18</v>
      </c>
      <c r="C5" s="79"/>
      <c r="D5" s="79"/>
      <c r="E5" s="79"/>
      <c r="F5" s="78" t="s">
        <v>9</v>
      </c>
      <c r="G5" s="78" t="s">
        <v>10</v>
      </c>
      <c r="H5" s="78" t="s">
        <v>9</v>
      </c>
      <c r="I5" s="78" t="s">
        <v>10</v>
      </c>
      <c r="J5" s="79"/>
      <c r="K5" s="78"/>
    </row>
    <row r="6" spans="2:11" ht="18" customHeight="1" x14ac:dyDescent="0.35">
      <c r="B6" s="88" t="s">
        <v>19</v>
      </c>
      <c r="C6" s="94" t="s">
        <v>20</v>
      </c>
      <c r="D6" s="94"/>
      <c r="E6" s="94"/>
      <c r="F6" s="80"/>
      <c r="G6" s="80"/>
      <c r="H6" s="80"/>
      <c r="I6" s="80"/>
      <c r="J6" s="80"/>
      <c r="K6" s="80"/>
    </row>
    <row r="7" spans="2:11" ht="18" customHeight="1" x14ac:dyDescent="0.35">
      <c r="B7" s="88" t="s">
        <v>21</v>
      </c>
      <c r="C7" s="94" t="s">
        <v>22</v>
      </c>
      <c r="D7" s="94"/>
      <c r="E7" s="94"/>
      <c r="F7" s="80"/>
      <c r="G7" s="80"/>
      <c r="H7" s="80"/>
      <c r="I7" s="80"/>
      <c r="J7" s="80"/>
      <c r="K7" s="80"/>
    </row>
    <row r="8" spans="2:11" ht="18" customHeight="1" x14ac:dyDescent="0.35">
      <c r="B8" s="88" t="s">
        <v>23</v>
      </c>
      <c r="C8" s="80">
        <v>6</v>
      </c>
      <c r="D8" s="80">
        <f>Data!L3</f>
        <v>7</v>
      </c>
      <c r="E8" s="81">
        <f>Data!M3</f>
        <v>8</v>
      </c>
      <c r="F8" s="81">
        <f>$C$8+($C$8*Uncertanties!K3)</f>
        <v>5</v>
      </c>
      <c r="G8" s="81">
        <f>$C$8+($C$8*Uncertanties!L3)</f>
        <v>9</v>
      </c>
      <c r="H8" s="81">
        <f>$D$8+($D$8*Uncertanties!M3)</f>
        <v>5.9321359999999999</v>
      </c>
      <c r="I8" s="81">
        <f>$D$8+($D$8*Uncertanties!N3)</f>
        <v>10.5</v>
      </c>
      <c r="J8" s="80" t="s">
        <v>24</v>
      </c>
      <c r="K8" s="80" t="s">
        <v>157</v>
      </c>
    </row>
    <row r="9" spans="2:11" ht="18" customHeight="1" x14ac:dyDescent="0.35">
      <c r="B9" s="88" t="s">
        <v>25</v>
      </c>
      <c r="C9" s="80">
        <f>C8*0.5</f>
        <v>3</v>
      </c>
      <c r="D9" s="82">
        <f>Data!L4</f>
        <v>3.5</v>
      </c>
      <c r="E9" s="81">
        <v>4</v>
      </c>
      <c r="F9" s="82">
        <f>$C$9+($C$9*Uncertanties!K4)</f>
        <v>2.6666666666666665</v>
      </c>
      <c r="G9" s="82">
        <f>$C$9+($C$9*Uncertanties!L4)</f>
        <v>3.5</v>
      </c>
      <c r="H9" s="82">
        <f>$D$9+($D$9*Uncertanties!M4)</f>
        <v>3.1440465</v>
      </c>
      <c r="I9" s="82">
        <f>$D$9+($D$9*Uncertanties!N4)</f>
        <v>4.083333333333333</v>
      </c>
      <c r="J9" s="80" t="s">
        <v>24</v>
      </c>
      <c r="K9" s="80" t="s">
        <v>157</v>
      </c>
    </row>
    <row r="10" spans="2:11" ht="18" customHeight="1" x14ac:dyDescent="0.35">
      <c r="B10" s="88" t="s">
        <v>26</v>
      </c>
      <c r="C10" s="80">
        <f>C9</f>
        <v>3</v>
      </c>
      <c r="D10" s="80">
        <f>Data!L5</f>
        <v>3.5</v>
      </c>
      <c r="E10" s="81">
        <v>4</v>
      </c>
      <c r="F10" s="82">
        <f>F9</f>
        <v>2.6666666666666665</v>
      </c>
      <c r="G10" s="82">
        <f t="shared" ref="G10:I10" si="0">G9</f>
        <v>3.5</v>
      </c>
      <c r="H10" s="82">
        <f t="shared" si="0"/>
        <v>3.1440465</v>
      </c>
      <c r="I10" s="82">
        <f t="shared" si="0"/>
        <v>4.083333333333333</v>
      </c>
      <c r="J10" s="80" t="s">
        <v>24</v>
      </c>
      <c r="K10" s="80" t="s">
        <v>157</v>
      </c>
    </row>
    <row r="11" spans="2:11" ht="18" customHeight="1" x14ac:dyDescent="0.35">
      <c r="B11" s="88" t="s">
        <v>27</v>
      </c>
      <c r="C11" s="80">
        <v>92</v>
      </c>
      <c r="D11" s="81">
        <f>Data!L6</f>
        <v>93.010989010989007</v>
      </c>
      <c r="E11" s="81">
        <f>D11</f>
        <v>93.010989010989007</v>
      </c>
      <c r="F11" s="81">
        <f>$C$11+($C$11*Uncertanties!K5)</f>
        <v>90.989010989010993</v>
      </c>
      <c r="G11" s="81">
        <f>$C$11+($C$11*Uncertanties!L5)</f>
        <v>93.010989010989007</v>
      </c>
      <c r="H11" s="81">
        <f>$D$11+($D$11*Uncertanties!M5)</f>
        <v>91.988890230648465</v>
      </c>
      <c r="I11" s="81">
        <f>$D$11+($D$11*Uncertanties!N5)</f>
        <v>94.302725626373615</v>
      </c>
      <c r="J11" s="80" t="s">
        <v>28</v>
      </c>
      <c r="K11" s="80" t="s">
        <v>158</v>
      </c>
    </row>
    <row r="12" spans="2:11" ht="18" customHeight="1" x14ac:dyDescent="0.35">
      <c r="B12" s="88" t="s">
        <v>29</v>
      </c>
      <c r="C12" s="81">
        <f>C13%*C14</f>
        <v>96.039999999999992</v>
      </c>
      <c r="D12" s="81">
        <f>D13*D14%</f>
        <v>97.027577319587635</v>
      </c>
      <c r="E12" s="81">
        <f>E13*E14%</f>
        <v>97.027577319587635</v>
      </c>
      <c r="F12" s="81">
        <f t="shared" ref="F12:I12" si="1">F13%*F14</f>
        <v>96.039999999999992</v>
      </c>
      <c r="G12" s="81">
        <f t="shared" si="1"/>
        <v>97.022499999999994</v>
      </c>
      <c r="H12" s="81">
        <f t="shared" si="1"/>
        <v>96.775056549705951</v>
      </c>
      <c r="I12" s="81">
        <f t="shared" si="1"/>
        <v>98.015051085485212</v>
      </c>
      <c r="J12" s="80" t="s">
        <v>28</v>
      </c>
      <c r="K12" s="80" t="s">
        <v>158</v>
      </c>
    </row>
    <row r="13" spans="2:11" ht="18" customHeight="1" x14ac:dyDescent="0.35">
      <c r="B13" s="89" t="s">
        <v>232</v>
      </c>
      <c r="C13" s="80">
        <v>98</v>
      </c>
      <c r="D13" s="81">
        <f>Data!L8</f>
        <v>98.5</v>
      </c>
      <c r="E13" s="81">
        <f>D13</f>
        <v>98.5</v>
      </c>
      <c r="F13" s="81">
        <f>$C$13+($C$13*Uncertanties!K6)</f>
        <v>98</v>
      </c>
      <c r="G13" s="81">
        <f>$C$13+($C$13*Uncertanties!L6)</f>
        <v>98.5</v>
      </c>
      <c r="H13" s="81">
        <f>$D$13+($D$13*Uncertanties!M6)</f>
        <v>98.374313999999998</v>
      </c>
      <c r="I13" s="81">
        <f>$D$13+($D$13*Uncertanties!N6)</f>
        <v>99.002551020408163</v>
      </c>
      <c r="J13" s="80" t="s">
        <v>30</v>
      </c>
      <c r="K13" s="80" t="s">
        <v>31</v>
      </c>
    </row>
    <row r="14" spans="2:11" ht="18" customHeight="1" x14ac:dyDescent="0.35">
      <c r="B14" s="89" t="s">
        <v>32</v>
      </c>
      <c r="C14" s="80">
        <f>C13</f>
        <v>98</v>
      </c>
      <c r="D14" s="81">
        <f>Data!L9</f>
        <v>98.505154639175259</v>
      </c>
      <c r="E14" s="81">
        <f>D14</f>
        <v>98.505154639175259</v>
      </c>
      <c r="F14" s="80">
        <f t="shared" ref="F14:I14" si="2">F13</f>
        <v>98</v>
      </c>
      <c r="G14" s="81">
        <f t="shared" si="2"/>
        <v>98.5</v>
      </c>
      <c r="H14" s="81">
        <f t="shared" si="2"/>
        <v>98.374313999999998</v>
      </c>
      <c r="I14" s="81">
        <f t="shared" si="2"/>
        <v>99.002551020408163</v>
      </c>
      <c r="J14" s="80" t="s">
        <v>30</v>
      </c>
      <c r="K14" s="80" t="s">
        <v>31</v>
      </c>
    </row>
    <row r="15" spans="2:11" ht="18" customHeight="1" x14ac:dyDescent="0.35">
      <c r="B15" s="88" t="s">
        <v>33</v>
      </c>
      <c r="C15" s="80">
        <v>0.1</v>
      </c>
      <c r="D15" s="80">
        <f>Data!L10</f>
        <v>0.1</v>
      </c>
      <c r="E15" s="80">
        <f>Data!M10</f>
        <v>0.1</v>
      </c>
      <c r="F15" s="83">
        <f>$C$15+($C$15*Uncertanties!K7)</f>
        <v>0.05</v>
      </c>
      <c r="G15" s="83">
        <f>$C$15+($C$15*Uncertanties!L7)</f>
        <v>0.2</v>
      </c>
      <c r="H15" s="83">
        <f>$D$15+($D$15*Uncertanties!M7)</f>
        <v>0.05</v>
      </c>
      <c r="I15" s="83">
        <f>$D$15+($D$15*Uncertanties!N7)</f>
        <v>0.18326569999999975</v>
      </c>
      <c r="J15" s="80" t="s">
        <v>34</v>
      </c>
      <c r="K15" s="80" t="s">
        <v>159</v>
      </c>
    </row>
    <row r="16" spans="2:11" ht="18" customHeight="1" x14ac:dyDescent="0.35">
      <c r="B16" s="88" t="s">
        <v>35</v>
      </c>
      <c r="C16" s="80">
        <v>0.38</v>
      </c>
      <c r="D16" s="80">
        <f>Data!L11</f>
        <v>0.35</v>
      </c>
      <c r="E16" s="83">
        <f>Data!M11</f>
        <v>0.32236842105263153</v>
      </c>
      <c r="F16" s="83">
        <f>$C$16+($C$16*Uncertanties!K8)</f>
        <v>0.2</v>
      </c>
      <c r="G16" s="83">
        <f>$C$16+($C$16*Uncertanties!L8)</f>
        <v>0.5</v>
      </c>
      <c r="H16" s="83">
        <f>$D$16+($D$16*Uncertanties!M8)</f>
        <v>0.16913715000000024</v>
      </c>
      <c r="I16" s="83">
        <f>$D$16+($D$16*Uncertanties!N8)</f>
        <v>0.44676834999999981</v>
      </c>
      <c r="J16" s="80" t="s">
        <v>36</v>
      </c>
      <c r="K16" s="80"/>
    </row>
    <row r="17" spans="2:11" ht="18" customHeight="1" x14ac:dyDescent="0.35">
      <c r="B17" s="88" t="s">
        <v>37</v>
      </c>
      <c r="C17" s="80">
        <v>0.2</v>
      </c>
      <c r="D17" s="83">
        <f>Data!L12</f>
        <v>0.1</v>
      </c>
      <c r="E17" s="80">
        <f>Data!M12</f>
        <v>0.05</v>
      </c>
      <c r="F17" s="83">
        <f>$C$17+($C$17*Uncertanties!K9)</f>
        <v>0.1</v>
      </c>
      <c r="G17" s="83">
        <f>$C$17+($C$17*Uncertanties!L9)</f>
        <v>0.25</v>
      </c>
      <c r="H17" s="83">
        <f>$D$17+($D$17*Uncertanties!M9)</f>
        <v>0.05</v>
      </c>
      <c r="I17" s="83">
        <f>$D$17+($D$17*Uncertanties!N9)</f>
        <v>0.15000000000000002</v>
      </c>
      <c r="J17" s="80" t="s">
        <v>36</v>
      </c>
      <c r="K17" s="80"/>
    </row>
    <row r="18" spans="2:11" ht="18" customHeight="1" x14ac:dyDescent="0.35">
      <c r="B18" s="88" t="s">
        <v>38</v>
      </c>
      <c r="C18" s="80">
        <v>20</v>
      </c>
      <c r="D18" s="80">
        <f>Data!L13</f>
        <v>25</v>
      </c>
      <c r="E18" s="81">
        <f>Data!M13</f>
        <v>31.25</v>
      </c>
      <c r="F18" s="81">
        <f>$C$18+($C$18*Uncertanties!K10)</f>
        <v>15</v>
      </c>
      <c r="G18" s="81">
        <f>$C$18+($C$18*Uncertanties!L10)</f>
        <v>25</v>
      </c>
      <c r="H18" s="81">
        <f>$D$18+($D$18*Uncertanties!M10)</f>
        <v>18.04427500000001</v>
      </c>
      <c r="I18" s="81">
        <f>$D$18+($D$18*Uncertanties!N10)</f>
        <v>33.316425000000024</v>
      </c>
      <c r="J18" s="80" t="s">
        <v>39</v>
      </c>
      <c r="K18" s="80" t="s">
        <v>160</v>
      </c>
    </row>
    <row r="19" spans="2:11" ht="18" customHeight="1" x14ac:dyDescent="0.35">
      <c r="B19" s="88" t="s">
        <v>40</v>
      </c>
      <c r="C19" s="80">
        <v>0.2</v>
      </c>
      <c r="D19" s="80">
        <f>Data!L14</f>
        <v>0.2</v>
      </c>
      <c r="E19" s="82">
        <f>Data!M14</f>
        <v>0.2</v>
      </c>
      <c r="F19" s="82">
        <f>$C$19+($C$19*Uncertanties!K11)</f>
        <v>0.2</v>
      </c>
      <c r="G19" s="82">
        <f>$C$19+($C$19*Uncertanties!L11)</f>
        <v>0.25</v>
      </c>
      <c r="H19" s="83">
        <f>$D$19+($D$19*Uncertanties!M11)</f>
        <v>0.16653139999999952</v>
      </c>
      <c r="I19" s="83">
        <f>$D$19+($D$19*Uncertanties!N11)</f>
        <v>0.25</v>
      </c>
      <c r="J19" s="80"/>
      <c r="K19" s="80" t="s">
        <v>41</v>
      </c>
    </row>
    <row r="20" spans="2:11" ht="18" customHeight="1" x14ac:dyDescent="0.35">
      <c r="B20" s="88" t="s">
        <v>65</v>
      </c>
      <c r="C20" s="80">
        <v>14000</v>
      </c>
      <c r="D20" s="81">
        <f>Data!L26</f>
        <v>30000</v>
      </c>
      <c r="E20" s="81">
        <v>50000</v>
      </c>
      <c r="F20" s="81">
        <f>$C$20+($C$20*Uncertanties!K20)</f>
        <v>10000</v>
      </c>
      <c r="G20" s="81">
        <f>$C$20+($C$20*Uncertanties!L20)</f>
        <v>16000</v>
      </c>
      <c r="H20" s="81">
        <v>18200</v>
      </c>
      <c r="I20" s="81">
        <v>36800</v>
      </c>
      <c r="J20" s="80" t="s">
        <v>66</v>
      </c>
      <c r="K20" s="80" t="s">
        <v>161</v>
      </c>
    </row>
    <row r="21" spans="2:11" ht="18" customHeight="1" x14ac:dyDescent="0.35">
      <c r="B21" s="90" t="s">
        <v>42</v>
      </c>
      <c r="C21" s="84"/>
      <c r="D21" s="84"/>
      <c r="E21" s="84"/>
      <c r="F21" s="84"/>
      <c r="G21" s="84"/>
      <c r="H21" s="84"/>
      <c r="I21" s="84"/>
      <c r="J21" s="84"/>
      <c r="K21" s="84"/>
    </row>
    <row r="22" spans="2:11" ht="18" customHeight="1" x14ac:dyDescent="0.35">
      <c r="B22" s="88" t="s">
        <v>43</v>
      </c>
      <c r="C22" s="80" t="s">
        <v>44</v>
      </c>
      <c r="D22" s="80" t="s">
        <v>44</v>
      </c>
      <c r="E22" s="80" t="s">
        <v>44</v>
      </c>
      <c r="F22" s="80" t="s">
        <v>44</v>
      </c>
      <c r="G22" s="80" t="s">
        <v>44</v>
      </c>
      <c r="H22" s="80" t="s">
        <v>44</v>
      </c>
      <c r="I22" s="80" t="s">
        <v>44</v>
      </c>
      <c r="J22" s="80" t="s">
        <v>45</v>
      </c>
      <c r="K22" s="80" t="s">
        <v>46</v>
      </c>
    </row>
    <row r="23" spans="2:11" ht="18" customHeight="1" x14ac:dyDescent="0.35">
      <c r="B23" s="88" t="s">
        <v>47</v>
      </c>
      <c r="C23" s="80" t="s">
        <v>44</v>
      </c>
      <c r="D23" s="80" t="s">
        <v>44</v>
      </c>
      <c r="E23" s="80" t="s">
        <v>44</v>
      </c>
      <c r="F23" s="80" t="s">
        <v>44</v>
      </c>
      <c r="G23" s="80" t="s">
        <v>44</v>
      </c>
      <c r="H23" s="80" t="s">
        <v>44</v>
      </c>
      <c r="I23" s="80" t="s">
        <v>44</v>
      </c>
      <c r="J23" s="80" t="s">
        <v>45</v>
      </c>
      <c r="K23" s="80" t="s">
        <v>46</v>
      </c>
    </row>
    <row r="24" spans="2:11" ht="18" customHeight="1" x14ac:dyDescent="0.35">
      <c r="B24" s="90" t="s">
        <v>48</v>
      </c>
      <c r="C24" s="84"/>
      <c r="D24" s="84"/>
      <c r="E24" s="84"/>
      <c r="F24" s="84"/>
      <c r="G24" s="84"/>
      <c r="H24" s="84"/>
      <c r="I24" s="84"/>
      <c r="J24" s="84"/>
      <c r="K24" s="84"/>
    </row>
    <row r="25" spans="2:11" ht="18" customHeight="1" x14ac:dyDescent="0.35">
      <c r="B25" s="88" t="s">
        <v>233</v>
      </c>
      <c r="C25" s="83">
        <f>((C26+C28)*C8+C27*C9)/C8</f>
        <v>0.40737000000000007</v>
      </c>
      <c r="D25" s="83">
        <f t="shared" ref="D25:I25" si="3">((D26+D28)*D8+D27*D9)/D8</f>
        <v>0.26421091139240505</v>
      </c>
      <c r="E25" s="83">
        <f>((E26+E28)*E8+E27*E9)/E8</f>
        <v>0.17487956981253003</v>
      </c>
      <c r="F25" s="83">
        <f t="shared" si="3"/>
        <v>0.31967999999999996</v>
      </c>
      <c r="G25" s="83">
        <f t="shared" si="3"/>
        <v>0.55204000000000009</v>
      </c>
      <c r="H25" s="83">
        <f t="shared" si="3"/>
        <v>0.19725029511345679</v>
      </c>
      <c r="I25" s="83">
        <f t="shared" si="3"/>
        <v>0.50705432008427653</v>
      </c>
      <c r="J25" s="80" t="s">
        <v>49</v>
      </c>
      <c r="K25" s="80" t="s">
        <v>162</v>
      </c>
    </row>
    <row r="26" spans="2:11" ht="18" customHeight="1" x14ac:dyDescent="0.35">
      <c r="B26" s="91" t="s">
        <v>50</v>
      </c>
      <c r="C26" s="85">
        <v>0.14652000000000001</v>
      </c>
      <c r="D26" s="83">
        <f>Data!L18</f>
        <v>8.5500911392405066E-2</v>
      </c>
      <c r="E26" s="83">
        <f>Data!M18</f>
        <v>4.9893569812530042E-2</v>
      </c>
      <c r="F26" s="83">
        <f>$C$26+($C$26*Uncertanties!K12)</f>
        <v>7.7700000000000005E-2</v>
      </c>
      <c r="G26" s="83">
        <f>$C$26+($C$26*Uncertanties!L12)</f>
        <v>0.20979</v>
      </c>
      <c r="H26" s="83">
        <f>$D$26+($D$26*Uncertanties!M12)</f>
        <v>5.1375445633822743E-2</v>
      </c>
      <c r="I26" s="83">
        <f>$D$26+($D$26*Uncertanties!N12)</f>
        <v>0.17533877101427747</v>
      </c>
      <c r="J26" s="80"/>
      <c r="K26" s="80" t="s">
        <v>51</v>
      </c>
    </row>
    <row r="27" spans="2:11" ht="18" customHeight="1" x14ac:dyDescent="0.35">
      <c r="B27" s="91" t="s">
        <v>52</v>
      </c>
      <c r="C27" s="85">
        <v>0.29970000000000002</v>
      </c>
      <c r="D27" s="83">
        <f>Data!L19</f>
        <v>0.17982000000000001</v>
      </c>
      <c r="E27" s="83">
        <f>Data!M19</f>
        <v>0.107892</v>
      </c>
      <c r="F27" s="83">
        <f>$C$27+($C$27*Uncertanties!K13)</f>
        <v>0.26639999999999997</v>
      </c>
      <c r="G27" s="83">
        <f>$C$27+($C$27*Uncertanties!L13)</f>
        <v>0.56610000000000005</v>
      </c>
      <c r="H27" s="83">
        <f>$D$27+($D$27*Uncertanties!M13)</f>
        <v>0.14666874443999978</v>
      </c>
      <c r="I27" s="83">
        <f>$D$27+($D$27*Uncertanties!N13)</f>
        <v>0.47621712617999645</v>
      </c>
      <c r="J27" s="80"/>
      <c r="K27" s="80" t="s">
        <v>53</v>
      </c>
    </row>
    <row r="28" spans="2:11" ht="18" customHeight="1" x14ac:dyDescent="0.35">
      <c r="B28" s="91" t="s">
        <v>54</v>
      </c>
      <c r="C28" s="85">
        <v>0.11100000000000002</v>
      </c>
      <c r="D28" s="83">
        <f>Data!L20</f>
        <v>8.8800000000000004E-2</v>
      </c>
      <c r="E28" s="83">
        <f>Data!M20</f>
        <v>7.1039999999999992E-2</v>
      </c>
      <c r="F28" s="83">
        <f>$C$28+($C$28*Uncertanties!K14)</f>
        <v>9.9900000000000003E-2</v>
      </c>
      <c r="G28" s="83">
        <f>$C$28+($C$28*Uncertanties!L14)</f>
        <v>0.12210000000000001</v>
      </c>
      <c r="H28" s="83">
        <f>$D$28+($D$28*Uncertanties!M14)</f>
        <v>6.8140058400000036E-2</v>
      </c>
      <c r="I28" s="83">
        <f>$D$28+($D$28*Uncertanties!N14)</f>
        <v>0.14652000000000051</v>
      </c>
      <c r="J28" s="80" t="s">
        <v>55</v>
      </c>
      <c r="K28" s="80" t="s">
        <v>163</v>
      </c>
    </row>
    <row r="29" spans="2:11" ht="18" customHeight="1" x14ac:dyDescent="0.35">
      <c r="B29" s="88" t="s">
        <v>113</v>
      </c>
      <c r="C29" s="83">
        <v>0.54</v>
      </c>
      <c r="D29" s="83">
        <f>Data!L21</f>
        <v>0.54</v>
      </c>
      <c r="E29" s="83">
        <f>Data!M21</f>
        <v>0.54</v>
      </c>
      <c r="F29" s="83">
        <f>$C$29+($C$29*Uncertanties!K15)</f>
        <v>0.45</v>
      </c>
      <c r="G29" s="83">
        <f>$C$29+($C$29*Uncertanties!L15)</f>
        <v>0.54</v>
      </c>
      <c r="H29" s="83">
        <f>$D$29+($D$29*Uncertanties!M15)</f>
        <v>0.43379333999999975</v>
      </c>
      <c r="I29" s="83">
        <f>$D$29+($D$29*Uncertanties!N15)</f>
        <v>0.54</v>
      </c>
      <c r="J29" s="80" t="s">
        <v>56</v>
      </c>
      <c r="K29" s="80" t="s">
        <v>53</v>
      </c>
    </row>
    <row r="30" spans="2:11" ht="18" customHeight="1" x14ac:dyDescent="0.35">
      <c r="B30" s="88" t="s">
        <v>57</v>
      </c>
      <c r="C30" s="83">
        <v>2.2200000000000002</v>
      </c>
      <c r="D30" s="83">
        <f>Data!L22</f>
        <v>1.9980000000000002</v>
      </c>
      <c r="E30" s="83">
        <f>Data!M22</f>
        <v>1.7982000000000002</v>
      </c>
      <c r="F30" s="83">
        <f>$C$30+($C$30*Uncertanties!K16)</f>
        <v>0.44399999999999995</v>
      </c>
      <c r="G30" s="83">
        <f>$C$30+($C$30*Uncertanties!L16)</f>
        <v>6.2160000000000002</v>
      </c>
      <c r="H30" s="83">
        <f>$D$30+($D$30*Uncertanties!M16)</f>
        <v>0.38992368600000016</v>
      </c>
      <c r="I30" s="83">
        <f>$D$30+($D$30*Uncertanties!N16)</f>
        <v>4.7702250000000062</v>
      </c>
      <c r="J30" s="80" t="s">
        <v>58</v>
      </c>
      <c r="K30" s="80" t="s">
        <v>59</v>
      </c>
    </row>
    <row r="31" spans="2:11" ht="18" customHeight="1" x14ac:dyDescent="0.35">
      <c r="B31" s="90" t="s">
        <v>60</v>
      </c>
      <c r="C31" s="86"/>
      <c r="D31" s="86"/>
      <c r="E31" s="86"/>
      <c r="F31" s="86"/>
      <c r="G31" s="86"/>
      <c r="H31" s="86"/>
      <c r="I31" s="86"/>
      <c r="J31" s="87"/>
      <c r="K31" s="87"/>
    </row>
    <row r="32" spans="2:11" ht="18" customHeight="1" x14ac:dyDescent="0.35">
      <c r="B32" s="88" t="s">
        <v>229</v>
      </c>
      <c r="C32" s="85">
        <f t="shared" ref="C32:I32" si="4">C26+C28</f>
        <v>0.25752000000000003</v>
      </c>
      <c r="D32" s="85">
        <f>D26+D28</f>
        <v>0.17430091139240506</v>
      </c>
      <c r="E32" s="85">
        <f t="shared" si="4"/>
        <v>0.12093356981253003</v>
      </c>
      <c r="F32" s="85">
        <f>F26+F28</f>
        <v>0.17760000000000001</v>
      </c>
      <c r="G32" s="85">
        <f t="shared" si="4"/>
        <v>0.33189000000000002</v>
      </c>
      <c r="H32" s="85">
        <f t="shared" si="4"/>
        <v>0.11951550403382277</v>
      </c>
      <c r="I32" s="85">
        <f t="shared" si="4"/>
        <v>0.32185877101427796</v>
      </c>
      <c r="J32" s="80" t="s">
        <v>61</v>
      </c>
      <c r="K32" s="80" t="s">
        <v>162</v>
      </c>
    </row>
    <row r="33" spans="1:12" ht="18" customHeight="1" x14ac:dyDescent="0.35">
      <c r="B33" s="88" t="s">
        <v>230</v>
      </c>
      <c r="C33" s="83">
        <f t="shared" ref="C33:E33" si="5">C27</f>
        <v>0.29970000000000002</v>
      </c>
      <c r="D33" s="83">
        <f t="shared" si="5"/>
        <v>0.17982000000000001</v>
      </c>
      <c r="E33" s="83">
        <f t="shared" si="5"/>
        <v>0.107892</v>
      </c>
      <c r="F33" s="83">
        <f>F27</f>
        <v>0.26639999999999997</v>
      </c>
      <c r="G33" s="83">
        <f>G27</f>
        <v>0.56610000000000005</v>
      </c>
      <c r="H33" s="83">
        <f>H27</f>
        <v>0.14666874443999978</v>
      </c>
      <c r="I33" s="83">
        <f>I27</f>
        <v>0.47621712617999645</v>
      </c>
      <c r="J33" s="80" t="s">
        <v>62</v>
      </c>
      <c r="K33" s="80" t="s">
        <v>63</v>
      </c>
    </row>
    <row r="34" spans="1:12" ht="18" customHeight="1" x14ac:dyDescent="0.35">
      <c r="B34" s="88" t="s">
        <v>231</v>
      </c>
      <c r="C34" s="85">
        <v>0.36630000000000007</v>
      </c>
      <c r="D34" s="83">
        <f>Data!L25</f>
        <v>0.22200000000000006</v>
      </c>
      <c r="E34" s="83">
        <f>Data!M25</f>
        <v>0.13454545454545458</v>
      </c>
      <c r="F34" s="83">
        <f>$C$34+($C$34*Uncertanties!K19)</f>
        <v>0.31080000000000008</v>
      </c>
      <c r="G34" s="83">
        <f>$C$34+($C$34*Uncertanties!L19)</f>
        <v>0.64380000000000004</v>
      </c>
      <c r="H34" s="83">
        <f>$D$34+($D$34*Uncertanties!M19)</f>
        <v>0.17204888999999979</v>
      </c>
      <c r="I34" s="83">
        <f>$D$34+($D$34*Uncertanties!N19)</f>
        <v>0.5469576060000072</v>
      </c>
      <c r="J34" s="80" t="s">
        <v>64</v>
      </c>
      <c r="K34" s="80" t="s">
        <v>164</v>
      </c>
    </row>
    <row r="35" spans="1:12" ht="18" customHeight="1" x14ac:dyDescent="0.35">
      <c r="B35" s="88" t="s">
        <v>67</v>
      </c>
      <c r="C35" s="81">
        <f t="shared" ref="C35:I35" si="6">C37/(C8/C9)</f>
        <v>57.692307692307693</v>
      </c>
      <c r="D35" s="81">
        <f t="shared" si="6"/>
        <v>67.307692307692307</v>
      </c>
      <c r="E35" s="81">
        <f t="shared" si="6"/>
        <v>76.92307692307692</v>
      </c>
      <c r="F35" s="81">
        <f t="shared" si="6"/>
        <v>56.849816849816854</v>
      </c>
      <c r="G35" s="81">
        <f t="shared" si="6"/>
        <v>59.829059829059823</v>
      </c>
      <c r="H35" s="81">
        <f t="shared" si="6"/>
        <v>61.038698219933778</v>
      </c>
      <c r="I35" s="81">
        <f t="shared" si="6"/>
        <v>71.534398504273497</v>
      </c>
      <c r="J35" s="80" t="s">
        <v>68</v>
      </c>
      <c r="K35" s="80" t="s">
        <v>165</v>
      </c>
      <c r="L35" s="2"/>
    </row>
    <row r="36" spans="1:12" ht="18" customHeight="1" x14ac:dyDescent="0.35">
      <c r="B36" s="88" t="s">
        <v>69</v>
      </c>
      <c r="C36" s="81">
        <f t="shared" ref="C36:I36" si="7">C38/(C8/C9)</f>
        <v>68.901330275635885</v>
      </c>
      <c r="D36" s="81">
        <f t="shared" si="7"/>
        <v>80.384885321575211</v>
      </c>
      <c r="E36" s="81">
        <f t="shared" si="7"/>
        <v>91.868440367514523</v>
      </c>
      <c r="F36" s="81">
        <f t="shared" si="7"/>
        <v>68.406654058272352</v>
      </c>
      <c r="G36" s="81">
        <f t="shared" si="7"/>
        <v>82.446036227256599</v>
      </c>
      <c r="H36" s="81">
        <f t="shared" si="7"/>
        <v>71.79827609277342</v>
      </c>
      <c r="I36" s="81">
        <f t="shared" si="7"/>
        <v>96.187042265132717</v>
      </c>
      <c r="J36" s="80" t="s">
        <v>68</v>
      </c>
      <c r="K36" s="80" t="s">
        <v>165</v>
      </c>
      <c r="L36" s="2"/>
    </row>
    <row r="37" spans="1:12" ht="18" customHeight="1" x14ac:dyDescent="0.35">
      <c r="B37" s="88" t="s">
        <v>70</v>
      </c>
      <c r="C37" s="81">
        <f>(Data!I35*1000)/Data!C35</f>
        <v>115.38461538461539</v>
      </c>
      <c r="D37" s="81">
        <f>C37*(D8/C8)</f>
        <v>134.61538461538461</v>
      </c>
      <c r="E37" s="81">
        <f>D37*(E8/D8)</f>
        <v>153.84615384615384</v>
      </c>
      <c r="F37" s="81">
        <f>$C$37+($C$37*Uncertanties!K21)</f>
        <v>106.5934065934066</v>
      </c>
      <c r="G37" s="81">
        <f>$C$37+($C$37*Uncertanties!L21)</f>
        <v>153.84615384615384</v>
      </c>
      <c r="H37" s="81">
        <f>$D$37+($D$37*Uncertanties!M21)</f>
        <v>115.1668269230767</v>
      </c>
      <c r="I37" s="81">
        <f>$D$37+($D$37*Uncertanties!N21)</f>
        <v>183.94559615384614</v>
      </c>
      <c r="J37" s="80" t="s">
        <v>68</v>
      </c>
      <c r="K37" s="80" t="s">
        <v>165</v>
      </c>
      <c r="L37" s="2"/>
    </row>
    <row r="38" spans="1:12" ht="18" customHeight="1" x14ac:dyDescent="0.35">
      <c r="B38" s="88" t="s">
        <v>71</v>
      </c>
      <c r="C38" s="81">
        <f>(Data!I35/Data!F35)</f>
        <v>137.80266055127177</v>
      </c>
      <c r="D38" s="81">
        <f>C38*(D8/C8)</f>
        <v>160.76977064315042</v>
      </c>
      <c r="E38" s="81">
        <f>D38*(E8/D8)</f>
        <v>183.73688073502905</v>
      </c>
      <c r="F38" s="81">
        <f>$C$38+($C$38*Uncertanties!K22)</f>
        <v>128.26247635926066</v>
      </c>
      <c r="G38" s="81">
        <f>$C$38+($C$38*Uncertanties!L22)</f>
        <v>212.00409315580271</v>
      </c>
      <c r="H38" s="81">
        <f>$D$38+($D$38*Uncertanties!M22)</f>
        <v>135.46782413933144</v>
      </c>
      <c r="I38" s="81">
        <f>$D$38+($D$38*Uncertanties!N22)</f>
        <v>247.33810868176988</v>
      </c>
      <c r="J38" s="80" t="s">
        <v>68</v>
      </c>
      <c r="K38" s="80" t="s">
        <v>165</v>
      </c>
      <c r="L38" s="2"/>
    </row>
    <row r="39" spans="1:12" ht="15.75" customHeight="1" x14ac:dyDescent="0.35">
      <c r="B39" s="3"/>
      <c r="C39" s="4"/>
      <c r="D39" s="4"/>
      <c r="E39" s="4"/>
      <c r="F39" s="4"/>
      <c r="G39" s="4"/>
      <c r="H39" s="4"/>
      <c r="I39" s="4"/>
      <c r="J39" s="4"/>
      <c r="K39" s="4"/>
    </row>
    <row r="40" spans="1:12" ht="15.75" customHeight="1" x14ac:dyDescent="0.35">
      <c r="B40" s="15" t="s">
        <v>166</v>
      </c>
      <c r="C40" s="16">
        <v>1.1100000000000001</v>
      </c>
      <c r="D40" s="4"/>
      <c r="E40" s="4"/>
      <c r="F40" s="4"/>
      <c r="G40" s="4"/>
      <c r="H40" s="4"/>
      <c r="I40" s="4"/>
      <c r="J40" s="4"/>
      <c r="K40" s="4"/>
    </row>
    <row r="41" spans="1:12" ht="15" customHeight="1" x14ac:dyDescent="0.35"/>
    <row r="42" spans="1:12" x14ac:dyDescent="0.35">
      <c r="A42" s="5" t="s">
        <v>72</v>
      </c>
      <c r="B42" s="6"/>
    </row>
    <row r="43" spans="1:12" s="8" customFormat="1" x14ac:dyDescent="0.35">
      <c r="A43" s="12"/>
      <c r="B43" s="14" t="s">
        <v>140</v>
      </c>
    </row>
    <row r="44" spans="1:12" x14ac:dyDescent="0.35">
      <c r="A44" s="10"/>
      <c r="B44" s="11" t="s">
        <v>141</v>
      </c>
    </row>
    <row r="45" spans="1:12" x14ac:dyDescent="0.35">
      <c r="A45" s="10"/>
      <c r="B45" s="11" t="s">
        <v>142</v>
      </c>
    </row>
    <row r="46" spans="1:12" x14ac:dyDescent="0.35">
      <c r="A46" s="10"/>
      <c r="B46" s="11" t="s">
        <v>143</v>
      </c>
    </row>
    <row r="47" spans="1:12" x14ac:dyDescent="0.35">
      <c r="A47" s="10"/>
      <c r="B47" s="11" t="s">
        <v>144</v>
      </c>
    </row>
    <row r="48" spans="1:12" x14ac:dyDescent="0.35">
      <c r="A48" s="10"/>
      <c r="B48" s="11" t="s">
        <v>145</v>
      </c>
    </row>
    <row r="49" spans="1:2" x14ac:dyDescent="0.35">
      <c r="A49" s="10"/>
      <c r="B49" s="11" t="s">
        <v>146</v>
      </c>
    </row>
    <row r="50" spans="1:2" x14ac:dyDescent="0.35">
      <c r="A50" s="10"/>
      <c r="B50" s="11" t="s">
        <v>147</v>
      </c>
    </row>
    <row r="51" spans="1:2" x14ac:dyDescent="0.35">
      <c r="A51" s="10"/>
      <c r="B51" s="11" t="s">
        <v>148</v>
      </c>
    </row>
    <row r="52" spans="1:2" x14ac:dyDescent="0.35">
      <c r="A52" s="10"/>
      <c r="B52" s="11" t="s">
        <v>149</v>
      </c>
    </row>
    <row r="53" spans="1:2" x14ac:dyDescent="0.35">
      <c r="A53" s="10"/>
      <c r="B53" s="11" t="s">
        <v>150</v>
      </c>
    </row>
    <row r="54" spans="1:2" x14ac:dyDescent="0.35">
      <c r="A54" s="10"/>
      <c r="B54" s="11" t="s">
        <v>151</v>
      </c>
    </row>
    <row r="55" spans="1:2" x14ac:dyDescent="0.35">
      <c r="A55" s="10"/>
      <c r="B55" s="11" t="s">
        <v>152</v>
      </c>
    </row>
    <row r="56" spans="1:2" x14ac:dyDescent="0.35">
      <c r="A56" s="10"/>
      <c r="B56" s="11" t="s">
        <v>153</v>
      </c>
    </row>
    <row r="57" spans="1:2" x14ac:dyDescent="0.35">
      <c r="A57" s="10"/>
      <c r="B57" s="11" t="s">
        <v>154</v>
      </c>
    </row>
    <row r="58" spans="1:2" x14ac:dyDescent="0.35">
      <c r="A58" s="10"/>
      <c r="B58" s="11" t="s">
        <v>155</v>
      </c>
    </row>
    <row r="59" spans="1:2" x14ac:dyDescent="0.35">
      <c r="A59" s="10"/>
      <c r="B59" s="11" t="s">
        <v>156</v>
      </c>
    </row>
    <row r="61" spans="1:2" x14ac:dyDescent="0.35">
      <c r="A61" s="5" t="s">
        <v>73</v>
      </c>
    </row>
    <row r="62" spans="1:2" ht="10.5" customHeight="1" x14ac:dyDescent="0.35"/>
    <row r="63" spans="1:2" s="12" customFormat="1" ht="15" x14ac:dyDescent="0.3">
      <c r="A63" s="12">
        <v>1</v>
      </c>
      <c r="B63" s="13" t="s">
        <v>74</v>
      </c>
    </row>
    <row r="64" spans="1:2" s="12" customFormat="1" ht="15" x14ac:dyDescent="0.3">
      <c r="A64" s="12">
        <v>2</v>
      </c>
      <c r="B64" s="13" t="s">
        <v>75</v>
      </c>
    </row>
    <row r="65" spans="1:2" s="12" customFormat="1" ht="15" x14ac:dyDescent="0.3">
      <c r="A65" s="12">
        <v>3</v>
      </c>
      <c r="B65" s="13" t="s">
        <v>76</v>
      </c>
    </row>
    <row r="66" spans="1:2" s="12" customFormat="1" ht="15" x14ac:dyDescent="0.3">
      <c r="A66" s="12">
        <v>4</v>
      </c>
      <c r="B66" s="13" t="s">
        <v>77</v>
      </c>
    </row>
    <row r="67" spans="1:2" s="12" customFormat="1" ht="15" x14ac:dyDescent="0.3">
      <c r="A67" s="12">
        <v>5</v>
      </c>
      <c r="B67" s="13" t="s">
        <v>78</v>
      </c>
    </row>
    <row r="68" spans="1:2" s="12" customFormat="1" ht="15" x14ac:dyDescent="0.3">
      <c r="A68" s="12">
        <v>6</v>
      </c>
      <c r="B68" s="13" t="s">
        <v>79</v>
      </c>
    </row>
    <row r="69" spans="1:2" s="12" customFormat="1" ht="15" x14ac:dyDescent="0.3">
      <c r="A69" s="12">
        <v>7</v>
      </c>
      <c r="B69" s="13" t="s">
        <v>80</v>
      </c>
    </row>
    <row r="70" spans="1:2" s="12" customFormat="1" ht="15" x14ac:dyDescent="0.3">
      <c r="A70" s="12">
        <v>8</v>
      </c>
      <c r="B70" s="13" t="s">
        <v>81</v>
      </c>
    </row>
    <row r="71" spans="1:2" s="12" customFormat="1" ht="15" x14ac:dyDescent="0.3">
      <c r="A71" s="12">
        <v>9</v>
      </c>
      <c r="B71" s="13" t="s">
        <v>82</v>
      </c>
    </row>
    <row r="72" spans="1:2" s="12" customFormat="1" ht="15" x14ac:dyDescent="0.3">
      <c r="A72" s="12">
        <v>10</v>
      </c>
      <c r="B72" s="13" t="s">
        <v>83</v>
      </c>
    </row>
    <row r="73" spans="1:2" s="12" customFormat="1" ht="15" x14ac:dyDescent="0.3">
      <c r="A73" s="12">
        <v>11</v>
      </c>
      <c r="B73" s="13" t="s">
        <v>84</v>
      </c>
    </row>
    <row r="74" spans="1:2" s="12" customFormat="1" ht="15" x14ac:dyDescent="0.3">
      <c r="A74" s="12">
        <v>12</v>
      </c>
      <c r="B74" s="13" t="s">
        <v>85</v>
      </c>
    </row>
    <row r="75" spans="1:2" s="12" customFormat="1" ht="15" x14ac:dyDescent="0.3">
      <c r="A75" s="12">
        <v>13</v>
      </c>
      <c r="B75" s="13" t="s">
        <v>86</v>
      </c>
    </row>
    <row r="76" spans="1:2" s="12" customFormat="1" ht="15" x14ac:dyDescent="0.3">
      <c r="A76" s="12">
        <v>14</v>
      </c>
      <c r="B76" s="13" t="s">
        <v>87</v>
      </c>
    </row>
    <row r="77" spans="1:2" s="12" customFormat="1" ht="15" x14ac:dyDescent="0.3">
      <c r="A77" s="12">
        <v>15</v>
      </c>
      <c r="B77" s="13" t="s">
        <v>88</v>
      </c>
    </row>
    <row r="78" spans="1:2" s="12" customFormat="1" ht="15" x14ac:dyDescent="0.3">
      <c r="A78" s="12">
        <v>16</v>
      </c>
      <c r="B78" s="13" t="s">
        <v>89</v>
      </c>
    </row>
    <row r="79" spans="1:2" s="12" customFormat="1" ht="15" x14ac:dyDescent="0.3">
      <c r="A79" s="12">
        <v>17</v>
      </c>
      <c r="B79" s="13" t="s">
        <v>90</v>
      </c>
    </row>
    <row r="80" spans="1:2" s="12" customFormat="1" ht="15" x14ac:dyDescent="0.3">
      <c r="A80" s="12">
        <v>18</v>
      </c>
      <c r="B80" s="13" t="s">
        <v>91</v>
      </c>
    </row>
    <row r="81" spans="1:2" s="12" customFormat="1" ht="15" x14ac:dyDescent="0.3">
      <c r="A81" s="12">
        <v>19</v>
      </c>
      <c r="B81" s="13" t="s">
        <v>92</v>
      </c>
    </row>
    <row r="82" spans="1:2" s="12" customFormat="1" ht="15" x14ac:dyDescent="0.3">
      <c r="A82" s="12">
        <v>20</v>
      </c>
      <c r="B82" s="13" t="s">
        <v>93</v>
      </c>
    </row>
    <row r="83" spans="1:2" s="12" customFormat="1" ht="15" x14ac:dyDescent="0.3">
      <c r="A83" s="12">
        <v>21</v>
      </c>
      <c r="B83" s="13" t="s">
        <v>94</v>
      </c>
    </row>
    <row r="84" spans="1:2" s="12" customFormat="1" ht="15" x14ac:dyDescent="0.3">
      <c r="A84" s="12">
        <v>22</v>
      </c>
      <c r="B84" s="13" t="s">
        <v>95</v>
      </c>
    </row>
    <row r="85" spans="1:2" s="12" customFormat="1" ht="15" x14ac:dyDescent="0.3">
      <c r="A85" s="12">
        <v>23</v>
      </c>
      <c r="B85" s="13" t="s">
        <v>96</v>
      </c>
    </row>
    <row r="99" spans="2:2" s="8" customFormat="1" x14ac:dyDescent="0.35">
      <c r="B99" s="9"/>
    </row>
    <row r="101" spans="2:2" s="8" customFormat="1" x14ac:dyDescent="0.35">
      <c r="B101" s="9"/>
    </row>
    <row r="102" spans="2:2" s="8" customFormat="1" x14ac:dyDescent="0.35">
      <c r="B102" s="9"/>
    </row>
    <row r="105" spans="2:2" s="8" customFormat="1" x14ac:dyDescent="0.35">
      <c r="B105" s="9"/>
    </row>
    <row r="109" spans="2:2" s="8" customFormat="1" x14ac:dyDescent="0.35">
      <c r="B109" s="9"/>
    </row>
    <row r="111" spans="2:2" s="8" customFormat="1" x14ac:dyDescent="0.35">
      <c r="B111" s="9"/>
    </row>
    <row r="112" spans="2:2" s="8" customFormat="1" x14ac:dyDescent="0.35">
      <c r="B112" s="9"/>
    </row>
    <row r="113" spans="2:2" s="8" customFormat="1" x14ac:dyDescent="0.35">
      <c r="B113" s="9"/>
    </row>
    <row r="114" spans="2:2" s="8" customFormat="1" x14ac:dyDescent="0.35">
      <c r="B114" s="9"/>
    </row>
    <row r="115" spans="2:2" s="8" customFormat="1" x14ac:dyDescent="0.35">
      <c r="B115" s="9"/>
    </row>
    <row r="116" spans="2:2" s="8" customFormat="1" x14ac:dyDescent="0.35">
      <c r="B116" s="9"/>
    </row>
    <row r="117" spans="2:2" s="8" customFormat="1" x14ac:dyDescent="0.35">
      <c r="B117" s="9"/>
    </row>
  </sheetData>
  <mergeCells count="11">
    <mergeCell ref="K3:K4"/>
    <mergeCell ref="C6:E6"/>
    <mergeCell ref="C7:E7"/>
    <mergeCell ref="D2:K2"/>
    <mergeCell ref="J3:J4"/>
    <mergeCell ref="H3:I4"/>
    <mergeCell ref="B3:B4"/>
    <mergeCell ref="C3:C4"/>
    <mergeCell ref="D3:D4"/>
    <mergeCell ref="E3:E4"/>
    <mergeCell ref="F3: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4"/>
  <sheetViews>
    <sheetView zoomScale="90" zoomScaleNormal="90" workbookViewId="0">
      <pane xSplit="1" ySplit="2" topLeftCell="B3" activePane="bottomRight" state="frozen"/>
      <selection pane="topRight" activeCell="B1" sqref="B1"/>
      <selection pane="bottomLeft" activeCell="A3" sqref="A3"/>
      <selection pane="bottomRight" activeCell="A59" sqref="A59"/>
    </sheetView>
  </sheetViews>
  <sheetFormatPr baseColWidth="10" defaultColWidth="11.42578125" defaultRowHeight="18" x14ac:dyDescent="0.35"/>
  <cols>
    <col min="1" max="1" width="71.85546875" style="9" customWidth="1"/>
    <col min="2" max="4" width="10.140625" style="8" customWidth="1"/>
    <col min="5" max="5" width="13.5703125" style="8" customWidth="1"/>
    <col min="6" max="6" width="14" style="8" customWidth="1"/>
    <col min="7" max="8" width="13.5703125" style="8" customWidth="1"/>
    <col min="9" max="9" width="13.5703125" style="8" bestFit="1" customWidth="1"/>
    <col min="10" max="10" width="85.5703125" style="9" customWidth="1"/>
    <col min="11" max="12" width="9.5703125" style="8" customWidth="1"/>
    <col min="13" max="13" width="9.85546875" style="8" bestFit="1" customWidth="1"/>
    <col min="14" max="14" width="11.5703125" style="8" bestFit="1" customWidth="1"/>
    <col min="15" max="16384" width="11.42578125" style="8"/>
  </cols>
  <sheetData>
    <row r="1" spans="1:14" ht="62.25" customHeight="1" x14ac:dyDescent="0.35">
      <c r="D1" s="29"/>
      <c r="E1" s="27" t="s">
        <v>97</v>
      </c>
      <c r="F1" s="29"/>
      <c r="G1" s="27" t="s">
        <v>98</v>
      </c>
      <c r="H1" s="27"/>
      <c r="J1" s="102" t="s">
        <v>137</v>
      </c>
      <c r="K1" s="98" t="s">
        <v>191</v>
      </c>
      <c r="L1" s="98"/>
      <c r="M1" s="98"/>
    </row>
    <row r="2" spans="1:14" x14ac:dyDescent="0.35">
      <c r="A2" s="30" t="s">
        <v>8</v>
      </c>
      <c r="B2" s="27">
        <v>2015</v>
      </c>
      <c r="C2" s="27">
        <v>2020</v>
      </c>
      <c r="D2" s="27">
        <v>2030</v>
      </c>
      <c r="E2" s="31" t="s">
        <v>99</v>
      </c>
      <c r="F2" s="27">
        <v>2050</v>
      </c>
      <c r="G2" s="31" t="s">
        <v>100</v>
      </c>
      <c r="H2" s="31"/>
      <c r="I2" s="27" t="s">
        <v>11</v>
      </c>
      <c r="J2" s="102"/>
      <c r="K2" s="27">
        <v>2020</v>
      </c>
      <c r="L2" s="27">
        <v>2030</v>
      </c>
      <c r="M2" s="32">
        <v>2050</v>
      </c>
      <c r="N2" s="8" t="s">
        <v>101</v>
      </c>
    </row>
    <row r="3" spans="1:14" ht="63" customHeight="1" x14ac:dyDescent="0.35">
      <c r="A3" s="33" t="s">
        <v>167</v>
      </c>
      <c r="B3" s="34">
        <v>3.2</v>
      </c>
      <c r="C3" s="34">
        <v>6</v>
      </c>
      <c r="D3" s="34">
        <v>7</v>
      </c>
      <c r="E3" s="35">
        <f t="shared" ref="E3:E14" si="0">(D3-C3)/C3</f>
        <v>0.16666666666666666</v>
      </c>
      <c r="F3" s="34">
        <v>8</v>
      </c>
      <c r="G3" s="35">
        <f>(F3-D3)/D3</f>
        <v>0.14285714285714285</v>
      </c>
      <c r="H3" s="35"/>
      <c r="I3" s="95" t="s">
        <v>53</v>
      </c>
      <c r="J3" s="95" t="s">
        <v>208</v>
      </c>
      <c r="K3" s="36">
        <f>'Lithium Ion'!C8</f>
        <v>6</v>
      </c>
      <c r="L3" s="17">
        <f t="shared" ref="L3:L14" si="1">K3*(1+E3)</f>
        <v>7</v>
      </c>
      <c r="M3" s="17">
        <f t="shared" ref="M3:M9" si="2">L3*(1+G3)</f>
        <v>8</v>
      </c>
    </row>
    <row r="4" spans="1:14" ht="61.5" customHeight="1" x14ac:dyDescent="0.35">
      <c r="A4" s="33" t="s">
        <v>168</v>
      </c>
      <c r="B4" s="34">
        <v>9.6</v>
      </c>
      <c r="C4" s="34">
        <v>18</v>
      </c>
      <c r="D4" s="34">
        <v>21</v>
      </c>
      <c r="E4" s="35">
        <f t="shared" si="0"/>
        <v>0.16666666666666666</v>
      </c>
      <c r="F4" s="34">
        <v>24</v>
      </c>
      <c r="G4" s="35">
        <f t="shared" ref="G4:G10" si="3">(F4-D4)/D4</f>
        <v>0.14285714285714285</v>
      </c>
      <c r="H4" s="35"/>
      <c r="I4" s="95"/>
      <c r="J4" s="95"/>
      <c r="K4" s="36">
        <f>'Lithium Ion'!C9</f>
        <v>3</v>
      </c>
      <c r="L4" s="17">
        <f t="shared" si="1"/>
        <v>3.5</v>
      </c>
      <c r="M4" s="17">
        <f t="shared" si="2"/>
        <v>4</v>
      </c>
      <c r="N4" s="37">
        <f>C4/C3</f>
        <v>3</v>
      </c>
    </row>
    <row r="5" spans="1:14" ht="61.5" customHeight="1" x14ac:dyDescent="0.35">
      <c r="A5" s="33" t="s">
        <v>169</v>
      </c>
      <c r="B5" s="34">
        <v>1.6</v>
      </c>
      <c r="C5" s="36">
        <v>3</v>
      </c>
      <c r="D5" s="34">
        <v>3.5</v>
      </c>
      <c r="E5" s="35">
        <f t="shared" si="0"/>
        <v>0.16666666666666666</v>
      </c>
      <c r="F5" s="36">
        <v>4</v>
      </c>
      <c r="G5" s="35">
        <f t="shared" si="3"/>
        <v>0.14285714285714285</v>
      </c>
      <c r="H5" s="35"/>
      <c r="I5" s="95"/>
      <c r="J5" s="95"/>
      <c r="K5" s="36">
        <f>'Lithium Ion'!C10</f>
        <v>3</v>
      </c>
      <c r="L5" s="17">
        <f t="shared" si="1"/>
        <v>3.5</v>
      </c>
      <c r="M5" s="17">
        <f t="shared" si="2"/>
        <v>4</v>
      </c>
      <c r="N5" s="37">
        <f>C5/C3</f>
        <v>0.5</v>
      </c>
    </row>
    <row r="6" spans="1:14" ht="25.9" customHeight="1" x14ac:dyDescent="0.35">
      <c r="A6" s="33" t="s">
        <v>170</v>
      </c>
      <c r="B6" s="34">
        <v>91</v>
      </c>
      <c r="C6" s="36">
        <v>91</v>
      </c>
      <c r="D6" s="36">
        <v>92</v>
      </c>
      <c r="E6" s="38">
        <f t="shared" si="0"/>
        <v>1.098901098901099E-2</v>
      </c>
      <c r="F6" s="36">
        <v>92</v>
      </c>
      <c r="G6" s="39">
        <f t="shared" si="3"/>
        <v>0</v>
      </c>
      <c r="H6" s="35"/>
      <c r="I6" s="95"/>
      <c r="J6" s="96" t="s">
        <v>209</v>
      </c>
      <c r="K6" s="34">
        <f>'Lithium Ion'!C11</f>
        <v>92</v>
      </c>
      <c r="L6" s="24">
        <f t="shared" si="1"/>
        <v>93.010989010989007</v>
      </c>
      <c r="M6" s="24">
        <f t="shared" si="2"/>
        <v>93.010989010989007</v>
      </c>
    </row>
    <row r="7" spans="1:14" ht="25.9" customHeight="1" x14ac:dyDescent="0.35">
      <c r="A7" s="33" t="s">
        <v>171</v>
      </c>
      <c r="B7" s="34">
        <v>95</v>
      </c>
      <c r="C7" s="36">
        <v>95</v>
      </c>
      <c r="D7" s="36">
        <v>96</v>
      </c>
      <c r="E7" s="38">
        <f t="shared" si="0"/>
        <v>1.0526315789473684E-2</v>
      </c>
      <c r="F7" s="36">
        <v>96</v>
      </c>
      <c r="G7" s="39">
        <f t="shared" si="3"/>
        <v>0</v>
      </c>
      <c r="H7" s="35"/>
      <c r="I7" s="95"/>
      <c r="J7" s="96"/>
      <c r="K7" s="34">
        <f>'Lithium Ion'!C12</f>
        <v>96.039999999999992</v>
      </c>
      <c r="L7" s="24">
        <f t="shared" si="1"/>
        <v>97.050947368421049</v>
      </c>
      <c r="M7" s="24">
        <f t="shared" si="2"/>
        <v>97.050947368421049</v>
      </c>
    </row>
    <row r="8" spans="1:14" ht="25.9" customHeight="1" x14ac:dyDescent="0.35">
      <c r="A8" s="33" t="s">
        <v>172</v>
      </c>
      <c r="B8" s="34">
        <v>98</v>
      </c>
      <c r="C8" s="36">
        <v>98</v>
      </c>
      <c r="D8" s="36">
        <v>98.5</v>
      </c>
      <c r="E8" s="38">
        <f t="shared" si="0"/>
        <v>5.1020408163265302E-3</v>
      </c>
      <c r="F8" s="36">
        <v>98.5</v>
      </c>
      <c r="G8" s="39">
        <f t="shared" si="3"/>
        <v>0</v>
      </c>
      <c r="H8" s="35"/>
      <c r="I8" s="95"/>
      <c r="J8" s="97" t="s">
        <v>210</v>
      </c>
      <c r="K8" s="34">
        <f>'Lithium Ion'!C13</f>
        <v>98</v>
      </c>
      <c r="L8" s="24">
        <f t="shared" si="1"/>
        <v>98.5</v>
      </c>
      <c r="M8" s="24">
        <f t="shared" si="2"/>
        <v>98.5</v>
      </c>
      <c r="N8" s="40"/>
    </row>
    <row r="9" spans="1:14" ht="25.9" customHeight="1" x14ac:dyDescent="0.35">
      <c r="A9" s="33" t="s">
        <v>173</v>
      </c>
      <c r="B9" s="34">
        <v>97</v>
      </c>
      <c r="C9" s="36">
        <v>97</v>
      </c>
      <c r="D9" s="36">
        <v>97.5</v>
      </c>
      <c r="E9" s="38">
        <f t="shared" si="0"/>
        <v>5.1546391752577319E-3</v>
      </c>
      <c r="F9" s="36">
        <v>97.5</v>
      </c>
      <c r="G9" s="39">
        <f t="shared" si="3"/>
        <v>0</v>
      </c>
      <c r="H9" s="35"/>
      <c r="I9" s="95"/>
      <c r="J9" s="97"/>
      <c r="K9" s="34">
        <f>'Lithium Ion'!C14</f>
        <v>98</v>
      </c>
      <c r="L9" s="24">
        <f t="shared" si="1"/>
        <v>98.505154639175259</v>
      </c>
      <c r="M9" s="24">
        <f t="shared" si="2"/>
        <v>98.505154639175259</v>
      </c>
      <c r="N9" s="40"/>
    </row>
    <row r="10" spans="1:14" ht="60" x14ac:dyDescent="0.35">
      <c r="A10" s="33" t="s">
        <v>174</v>
      </c>
      <c r="B10" s="34">
        <v>0.1</v>
      </c>
      <c r="C10" s="36">
        <v>0.1</v>
      </c>
      <c r="D10" s="36">
        <v>0.1</v>
      </c>
      <c r="E10" s="38">
        <f t="shared" si="0"/>
        <v>0</v>
      </c>
      <c r="F10" s="36">
        <v>0.1</v>
      </c>
      <c r="G10" s="39">
        <f t="shared" si="3"/>
        <v>0</v>
      </c>
      <c r="H10" s="35"/>
      <c r="I10" s="95"/>
      <c r="J10" s="41" t="s">
        <v>211</v>
      </c>
      <c r="K10" s="34">
        <f>'Lithium Ion'!C15</f>
        <v>0.1</v>
      </c>
      <c r="L10" s="18">
        <f t="shared" si="1"/>
        <v>0.1</v>
      </c>
      <c r="M10" s="18">
        <f>L10*(1+E10)</f>
        <v>0.1</v>
      </c>
    </row>
    <row r="11" spans="1:14" ht="184.5" customHeight="1" x14ac:dyDescent="0.35">
      <c r="A11" s="33" t="s">
        <v>175</v>
      </c>
      <c r="B11" s="34">
        <v>0.4</v>
      </c>
      <c r="C11" s="34">
        <v>0.38</v>
      </c>
      <c r="D11" s="34">
        <v>0.35</v>
      </c>
      <c r="E11" s="35">
        <f t="shared" si="0"/>
        <v>-7.8947368421052697E-2</v>
      </c>
      <c r="F11" s="42">
        <v>0.25</v>
      </c>
      <c r="G11" s="35">
        <f t="shared" ref="G11:G14" si="4">(F11-D11)/D11</f>
        <v>-0.28571428571428564</v>
      </c>
      <c r="H11" s="35"/>
      <c r="I11" s="95" t="s">
        <v>53</v>
      </c>
      <c r="J11" s="97" t="s">
        <v>212</v>
      </c>
      <c r="K11" s="34">
        <f>'Lithium Ion'!C16</f>
        <v>0.38</v>
      </c>
      <c r="L11" s="18">
        <f t="shared" si="1"/>
        <v>0.35</v>
      </c>
      <c r="M11" s="18">
        <f>L11*(1+E11)</f>
        <v>0.32236842105263153</v>
      </c>
    </row>
    <row r="12" spans="1:14" x14ac:dyDescent="0.35">
      <c r="A12" s="33" t="s">
        <v>176</v>
      </c>
      <c r="B12" s="34">
        <v>0.2</v>
      </c>
      <c r="C12" s="34">
        <v>0.2</v>
      </c>
      <c r="D12" s="34">
        <v>0.1</v>
      </c>
      <c r="E12" s="39">
        <f t="shared" si="0"/>
        <v>-0.5</v>
      </c>
      <c r="F12" s="42">
        <v>0.1</v>
      </c>
      <c r="G12" s="39">
        <f t="shared" si="4"/>
        <v>0</v>
      </c>
      <c r="H12" s="35"/>
      <c r="I12" s="95"/>
      <c r="J12" s="97"/>
      <c r="K12" s="34">
        <f>'Lithium Ion'!C17</f>
        <v>0.2</v>
      </c>
      <c r="L12" s="18">
        <f t="shared" si="1"/>
        <v>0.1</v>
      </c>
      <c r="M12" s="18">
        <f>L12*(1+E12)</f>
        <v>0.05</v>
      </c>
    </row>
    <row r="13" spans="1:14" ht="80.849999999999994" customHeight="1" x14ac:dyDescent="0.35">
      <c r="A13" s="33" t="s">
        <v>177</v>
      </c>
      <c r="B13" s="34">
        <v>15</v>
      </c>
      <c r="C13" s="34">
        <v>20</v>
      </c>
      <c r="D13" s="34">
        <v>25</v>
      </c>
      <c r="E13" s="35">
        <f t="shared" si="0"/>
        <v>0.25</v>
      </c>
      <c r="F13" s="42">
        <v>30</v>
      </c>
      <c r="G13" s="35">
        <f t="shared" si="4"/>
        <v>0.2</v>
      </c>
      <c r="H13" s="35"/>
      <c r="I13" s="95"/>
      <c r="J13" s="25" t="s">
        <v>213</v>
      </c>
      <c r="K13" s="34">
        <f>'Lithium Ion'!C18</f>
        <v>20</v>
      </c>
      <c r="L13" s="18">
        <f t="shared" si="1"/>
        <v>25</v>
      </c>
      <c r="M13" s="18">
        <f>L13*(1+E13)</f>
        <v>31.25</v>
      </c>
    </row>
    <row r="14" spans="1:14" ht="73.5" customHeight="1" x14ac:dyDescent="0.35">
      <c r="A14" s="33" t="s">
        <v>178</v>
      </c>
      <c r="B14" s="34">
        <v>0.25</v>
      </c>
      <c r="C14" s="34">
        <v>0.2</v>
      </c>
      <c r="D14" s="34">
        <v>0.2</v>
      </c>
      <c r="E14" s="35">
        <f t="shared" si="0"/>
        <v>0</v>
      </c>
      <c r="F14" s="42">
        <v>0.2</v>
      </c>
      <c r="G14" s="35">
        <f t="shared" si="4"/>
        <v>0</v>
      </c>
      <c r="H14" s="35"/>
      <c r="I14" s="95"/>
      <c r="J14" s="25" t="s">
        <v>214</v>
      </c>
      <c r="K14" s="34">
        <f>'Lithium Ion'!C19</f>
        <v>0.2</v>
      </c>
      <c r="L14" s="18">
        <f t="shared" si="1"/>
        <v>0.2</v>
      </c>
      <c r="M14" s="18">
        <f>L14*(1+E14)</f>
        <v>0.2</v>
      </c>
    </row>
    <row r="15" spans="1:14" ht="31.5" customHeight="1" x14ac:dyDescent="0.35">
      <c r="A15" s="33" t="s">
        <v>179</v>
      </c>
      <c r="B15" s="34"/>
      <c r="C15" s="34" t="s">
        <v>102</v>
      </c>
      <c r="D15" s="34" t="s">
        <v>102</v>
      </c>
      <c r="E15" s="34"/>
      <c r="F15" s="34" t="s">
        <v>102</v>
      </c>
      <c r="G15" s="34"/>
      <c r="H15" s="35"/>
      <c r="I15" s="95" t="s">
        <v>46</v>
      </c>
      <c r="J15" s="97" t="s">
        <v>216</v>
      </c>
      <c r="K15" s="34"/>
      <c r="L15" s="34"/>
      <c r="M15" s="43"/>
    </row>
    <row r="16" spans="1:14" ht="30" customHeight="1" x14ac:dyDescent="0.35">
      <c r="A16" s="33" t="s">
        <v>180</v>
      </c>
      <c r="B16" s="34"/>
      <c r="C16" s="34" t="s">
        <v>102</v>
      </c>
      <c r="D16" s="34" t="s">
        <v>102</v>
      </c>
      <c r="E16" s="34"/>
      <c r="F16" s="34" t="s">
        <v>102</v>
      </c>
      <c r="G16" s="34"/>
      <c r="H16" s="35"/>
      <c r="I16" s="95"/>
      <c r="J16" s="97"/>
      <c r="K16" s="34"/>
      <c r="L16" s="34"/>
      <c r="M16" s="43"/>
    </row>
    <row r="17" spans="1:13" ht="31.15" customHeight="1" x14ac:dyDescent="0.35">
      <c r="A17" s="33" t="s">
        <v>181</v>
      </c>
      <c r="B17" s="34"/>
      <c r="C17" s="34"/>
      <c r="D17" s="34"/>
      <c r="E17" s="34"/>
      <c r="F17" s="28"/>
      <c r="G17" s="28"/>
      <c r="H17" s="35"/>
      <c r="I17" s="95" t="s">
        <v>112</v>
      </c>
      <c r="J17" s="44" t="s">
        <v>217</v>
      </c>
      <c r="K17" s="34"/>
      <c r="L17" s="34"/>
      <c r="M17" s="43"/>
    </row>
    <row r="18" spans="1:13" ht="60" x14ac:dyDescent="0.35">
      <c r="A18" s="33" t="s">
        <v>182</v>
      </c>
      <c r="B18" s="28">
        <v>1.365</v>
      </c>
      <c r="C18" s="28">
        <v>0.79</v>
      </c>
      <c r="D18" s="28">
        <v>0.46100000000000002</v>
      </c>
      <c r="E18" s="38">
        <f t="shared" ref="E18:E30" si="5">(D18-C18)/C18</f>
        <v>-0.41645569620253164</v>
      </c>
      <c r="F18" s="28">
        <v>0.316</v>
      </c>
      <c r="G18" s="35">
        <f t="shared" ref="G18:G19" si="6">(F18-D18)/D18</f>
        <v>-0.31453362255965295</v>
      </c>
      <c r="H18" s="35"/>
      <c r="I18" s="95"/>
      <c r="J18" s="34" t="s">
        <v>218</v>
      </c>
      <c r="K18" s="42">
        <f>'Lithium Ion'!C26</f>
        <v>0.14652000000000001</v>
      </c>
      <c r="L18" s="18">
        <f t="shared" ref="L18:L30" si="7">K18*(1+E18)</f>
        <v>8.5500911392405066E-2</v>
      </c>
      <c r="M18" s="18">
        <f t="shared" ref="M18:M25" si="8">L18*(1+E18)</f>
        <v>4.9893569812530042E-2</v>
      </c>
    </row>
    <row r="19" spans="1:13" ht="157.5" customHeight="1" x14ac:dyDescent="0.35">
      <c r="A19" s="33" t="s">
        <v>183</v>
      </c>
      <c r="B19" s="28">
        <v>0.32</v>
      </c>
      <c r="C19" s="28">
        <v>0.3</v>
      </c>
      <c r="D19" s="28">
        <v>0.18</v>
      </c>
      <c r="E19" s="38">
        <f t="shared" si="5"/>
        <v>-0.4</v>
      </c>
      <c r="F19" s="28">
        <v>7.0000000000000007E-2</v>
      </c>
      <c r="G19" s="38">
        <f t="shared" si="6"/>
        <v>-0.61111111111111105</v>
      </c>
      <c r="H19" s="35"/>
      <c r="I19" s="34" t="s">
        <v>53</v>
      </c>
      <c r="J19" s="34" t="s">
        <v>220</v>
      </c>
      <c r="K19" s="42">
        <f>'Lithium Ion'!C27</f>
        <v>0.29970000000000002</v>
      </c>
      <c r="L19" s="18">
        <f t="shared" si="7"/>
        <v>0.17982000000000001</v>
      </c>
      <c r="M19" s="18">
        <f t="shared" si="8"/>
        <v>0.107892</v>
      </c>
    </row>
    <row r="20" spans="1:13" ht="143.25" customHeight="1" x14ac:dyDescent="0.35">
      <c r="A20" s="33" t="s">
        <v>184</v>
      </c>
      <c r="B20" s="28">
        <v>0.11</v>
      </c>
      <c r="C20" s="28">
        <v>0.1</v>
      </c>
      <c r="D20" s="28">
        <v>0.08</v>
      </c>
      <c r="E20" s="38">
        <f t="shared" si="5"/>
        <v>-0.20000000000000004</v>
      </c>
      <c r="F20" s="28">
        <v>0.04</v>
      </c>
      <c r="G20" s="38">
        <f>(F20-D20)/D20</f>
        <v>-0.5</v>
      </c>
      <c r="H20" s="35"/>
      <c r="I20" s="95" t="s">
        <v>53</v>
      </c>
      <c r="J20" s="34" t="s">
        <v>219</v>
      </c>
      <c r="K20" s="42">
        <f>'Lithium Ion'!C28</f>
        <v>0.11100000000000002</v>
      </c>
      <c r="L20" s="18">
        <f t="shared" si="7"/>
        <v>8.8800000000000004E-2</v>
      </c>
      <c r="M20" s="18">
        <f t="shared" si="8"/>
        <v>7.1039999999999992E-2</v>
      </c>
    </row>
    <row r="21" spans="1:13" ht="76.5" customHeight="1" x14ac:dyDescent="0.35">
      <c r="A21" s="33" t="s">
        <v>185</v>
      </c>
      <c r="B21" s="34">
        <v>0.54</v>
      </c>
      <c r="C21" s="34">
        <v>0.54</v>
      </c>
      <c r="D21" s="34">
        <v>0.54</v>
      </c>
      <c r="E21" s="35">
        <f t="shared" si="5"/>
        <v>0</v>
      </c>
      <c r="F21" s="34">
        <v>0.54</v>
      </c>
      <c r="G21" s="35">
        <f t="shared" ref="G21:G30" si="9">(F21-D21)/D21</f>
        <v>0</v>
      </c>
      <c r="H21" s="35"/>
      <c r="I21" s="95"/>
      <c r="J21" s="34" t="s">
        <v>221</v>
      </c>
      <c r="K21" s="42">
        <f>'Lithium Ion'!C29</f>
        <v>0.54</v>
      </c>
      <c r="L21" s="18">
        <f t="shared" si="7"/>
        <v>0.54</v>
      </c>
      <c r="M21" s="18">
        <f t="shared" si="8"/>
        <v>0.54</v>
      </c>
    </row>
    <row r="22" spans="1:13" ht="60.75" customHeight="1" x14ac:dyDescent="0.35">
      <c r="A22" s="33" t="s">
        <v>186</v>
      </c>
      <c r="B22" s="34">
        <v>2.1</v>
      </c>
      <c r="C22" s="34">
        <v>2</v>
      </c>
      <c r="D22" s="34">
        <v>1.8</v>
      </c>
      <c r="E22" s="35">
        <f t="shared" si="5"/>
        <v>-9.9999999999999978E-2</v>
      </c>
      <c r="F22" s="42">
        <v>1.6</v>
      </c>
      <c r="G22" s="35">
        <f t="shared" si="9"/>
        <v>-0.11111111111111108</v>
      </c>
      <c r="H22" s="35"/>
      <c r="I22" s="95"/>
      <c r="J22" s="45" t="s">
        <v>222</v>
      </c>
      <c r="K22" s="42">
        <f>'Lithium Ion'!C30</f>
        <v>2.2200000000000002</v>
      </c>
      <c r="L22" s="18">
        <f t="shared" si="7"/>
        <v>1.9980000000000002</v>
      </c>
      <c r="M22" s="18">
        <f t="shared" si="8"/>
        <v>1.7982000000000002</v>
      </c>
    </row>
    <row r="23" spans="1:13" ht="41.45" customHeight="1" x14ac:dyDescent="0.35">
      <c r="A23" s="33" t="s">
        <v>187</v>
      </c>
      <c r="B23" s="28">
        <v>0.41799999999999998</v>
      </c>
      <c r="C23" s="28">
        <v>0.23200000000000001</v>
      </c>
      <c r="D23" s="28">
        <v>0.14199999999999999</v>
      </c>
      <c r="E23" s="38">
        <f t="shared" si="5"/>
        <v>-0.38793103448275873</v>
      </c>
      <c r="F23" s="28">
        <v>7.4999999999999997E-2</v>
      </c>
      <c r="G23" s="38">
        <f t="shared" si="9"/>
        <v>-0.47183098591549294</v>
      </c>
      <c r="H23" s="35"/>
      <c r="I23" s="95"/>
      <c r="J23" s="45" t="s">
        <v>223</v>
      </c>
      <c r="K23" s="42">
        <f>'Lithium Ion'!C32</f>
        <v>0.25752000000000003</v>
      </c>
      <c r="L23" s="18">
        <f t="shared" si="7"/>
        <v>0.15762000000000001</v>
      </c>
      <c r="M23" s="18">
        <f t="shared" si="8"/>
        <v>9.6474310344827591E-2</v>
      </c>
    </row>
    <row r="24" spans="1:13" ht="41.45" customHeight="1" x14ac:dyDescent="0.35">
      <c r="A24" s="33" t="s">
        <v>188</v>
      </c>
      <c r="B24" s="28">
        <v>0.28999999999999998</v>
      </c>
      <c r="C24" s="28">
        <v>0.27</v>
      </c>
      <c r="D24" s="28">
        <v>0.16</v>
      </c>
      <c r="E24" s="38">
        <f t="shared" si="5"/>
        <v>-0.40740740740740744</v>
      </c>
      <c r="F24" s="28">
        <v>0.06</v>
      </c>
      <c r="G24" s="38">
        <f t="shared" si="9"/>
        <v>-0.625</v>
      </c>
      <c r="H24" s="35"/>
      <c r="I24" s="95"/>
      <c r="J24" s="45" t="s">
        <v>224</v>
      </c>
      <c r="K24" s="42">
        <f>'Lithium Ion'!C33</f>
        <v>0.29970000000000002</v>
      </c>
      <c r="L24" s="18">
        <f t="shared" si="7"/>
        <v>0.17760000000000001</v>
      </c>
      <c r="M24" s="18">
        <f t="shared" si="8"/>
        <v>0.10524444444444445</v>
      </c>
    </row>
    <row r="25" spans="1:13" ht="54" x14ac:dyDescent="0.35">
      <c r="A25" s="33" t="s">
        <v>189</v>
      </c>
      <c r="B25" s="28">
        <v>0.39</v>
      </c>
      <c r="C25" s="28">
        <v>0.33</v>
      </c>
      <c r="D25" s="28">
        <v>0.2</v>
      </c>
      <c r="E25" s="38">
        <f t="shared" si="5"/>
        <v>-0.39393939393939392</v>
      </c>
      <c r="F25" s="28">
        <v>0.08</v>
      </c>
      <c r="G25" s="38">
        <f t="shared" si="9"/>
        <v>-0.6</v>
      </c>
      <c r="H25" s="35"/>
      <c r="I25" s="95"/>
      <c r="J25" s="45" t="s">
        <v>225</v>
      </c>
      <c r="K25" s="42">
        <f>'Lithium Ion'!C34</f>
        <v>0.36630000000000007</v>
      </c>
      <c r="L25" s="18">
        <f t="shared" si="7"/>
        <v>0.22200000000000006</v>
      </c>
      <c r="M25" s="18">
        <f t="shared" si="8"/>
        <v>0.13454545454545458</v>
      </c>
    </row>
    <row r="26" spans="1:13" ht="25.9" customHeight="1" x14ac:dyDescent="0.35">
      <c r="A26" s="33" t="s">
        <v>65</v>
      </c>
      <c r="B26" s="46">
        <v>6000</v>
      </c>
      <c r="C26" s="46">
        <v>14000</v>
      </c>
      <c r="D26" s="46">
        <v>30000</v>
      </c>
      <c r="E26" s="38">
        <f t="shared" si="5"/>
        <v>1.1428571428571428</v>
      </c>
      <c r="F26" s="46">
        <v>50000</v>
      </c>
      <c r="G26" s="38">
        <f t="shared" si="9"/>
        <v>0.66666666666666663</v>
      </c>
      <c r="H26" s="35"/>
      <c r="I26" s="95"/>
      <c r="J26" s="47" t="s">
        <v>215</v>
      </c>
      <c r="K26" s="46">
        <f>'Lithium Ion'!C20</f>
        <v>14000</v>
      </c>
      <c r="L26" s="24">
        <f t="shared" si="7"/>
        <v>30000</v>
      </c>
      <c r="M26" s="24">
        <f>L26*(1+G26)</f>
        <v>49999.999999999993</v>
      </c>
    </row>
    <row r="27" spans="1:13" ht="25.9" customHeight="1" x14ac:dyDescent="0.35">
      <c r="A27" s="33" t="s">
        <v>190</v>
      </c>
      <c r="B27" s="46">
        <v>285</v>
      </c>
      <c r="C27" s="46">
        <v>315</v>
      </c>
      <c r="D27" s="46">
        <v>417</v>
      </c>
      <c r="E27" s="38">
        <f t="shared" si="5"/>
        <v>0.32380952380952382</v>
      </c>
      <c r="F27" s="46">
        <v>627</v>
      </c>
      <c r="G27" s="38">
        <f t="shared" si="9"/>
        <v>0.50359712230215825</v>
      </c>
      <c r="H27" s="35"/>
      <c r="I27" s="95"/>
      <c r="J27" s="48" t="s">
        <v>226</v>
      </c>
      <c r="K27" s="46">
        <f>'Lithium Ion'!C35</f>
        <v>57.692307692307693</v>
      </c>
      <c r="L27" s="24">
        <f t="shared" si="7"/>
        <v>76.373626373626379</v>
      </c>
      <c r="M27" s="24">
        <f>L27*(1+E27)</f>
        <v>101.10413396127683</v>
      </c>
    </row>
    <row r="28" spans="1:13" ht="25.9" customHeight="1" x14ac:dyDescent="0.35">
      <c r="A28" s="33" t="s">
        <v>69</v>
      </c>
      <c r="B28" s="46">
        <v>354</v>
      </c>
      <c r="C28" s="46">
        <v>390</v>
      </c>
      <c r="D28" s="46">
        <v>519</v>
      </c>
      <c r="E28" s="38">
        <f t="shared" si="5"/>
        <v>0.33076923076923076</v>
      </c>
      <c r="F28" s="46">
        <v>780</v>
      </c>
      <c r="G28" s="38">
        <f t="shared" si="9"/>
        <v>0.50289017341040465</v>
      </c>
      <c r="H28" s="35"/>
      <c r="I28" s="95"/>
      <c r="J28" s="45" t="s">
        <v>207</v>
      </c>
      <c r="K28" s="46">
        <f>'Lithium Ion'!C36</f>
        <v>68.901330275635885</v>
      </c>
      <c r="L28" s="24">
        <f t="shared" si="7"/>
        <v>91.691770289884673</v>
      </c>
      <c r="M28" s="24">
        <f>L28*(1+E28)</f>
        <v>122.02058661653882</v>
      </c>
    </row>
    <row r="29" spans="1:13" ht="25.9" customHeight="1" x14ac:dyDescent="0.35">
      <c r="A29" s="33" t="s">
        <v>70</v>
      </c>
      <c r="B29" s="46">
        <v>95</v>
      </c>
      <c r="C29" s="46">
        <v>105</v>
      </c>
      <c r="D29" s="46">
        <v>139</v>
      </c>
      <c r="E29" s="38">
        <f t="shared" si="5"/>
        <v>0.32380952380952382</v>
      </c>
      <c r="F29" s="46">
        <v>209</v>
      </c>
      <c r="G29" s="38">
        <f t="shared" si="9"/>
        <v>0.50359712230215825</v>
      </c>
      <c r="H29" s="35"/>
      <c r="I29" s="95"/>
      <c r="J29" s="96" t="s">
        <v>227</v>
      </c>
      <c r="K29" s="46">
        <f>'Lithium Ion'!C37</f>
        <v>115.38461538461539</v>
      </c>
      <c r="L29" s="24">
        <f t="shared" si="7"/>
        <v>152.74725274725276</v>
      </c>
      <c r="M29" s="24">
        <f>L29*(1+E29)</f>
        <v>202.20826792255366</v>
      </c>
    </row>
    <row r="30" spans="1:13" ht="25.9" customHeight="1" x14ac:dyDescent="0.35">
      <c r="A30" s="33" t="s">
        <v>71</v>
      </c>
      <c r="B30" s="46">
        <v>118</v>
      </c>
      <c r="C30" s="46">
        <v>130</v>
      </c>
      <c r="D30" s="46">
        <v>173</v>
      </c>
      <c r="E30" s="38">
        <f t="shared" si="5"/>
        <v>0.33076923076923076</v>
      </c>
      <c r="F30" s="46">
        <v>260</v>
      </c>
      <c r="G30" s="38">
        <f t="shared" si="9"/>
        <v>0.50289017341040465</v>
      </c>
      <c r="H30" s="35"/>
      <c r="I30" s="95"/>
      <c r="J30" s="96"/>
      <c r="K30" s="46">
        <f>'Lithium Ion'!C38</f>
        <v>137.80266055127177</v>
      </c>
      <c r="L30" s="24">
        <f t="shared" si="7"/>
        <v>183.38354057976935</v>
      </c>
      <c r="M30" s="24">
        <f>L30*(1+E30)</f>
        <v>244.04117323307764</v>
      </c>
    </row>
    <row r="31" spans="1:13" x14ac:dyDescent="0.35">
      <c r="A31" s="49"/>
    </row>
    <row r="32" spans="1:13" x14ac:dyDescent="0.35">
      <c r="A32" s="49"/>
      <c r="B32" s="31"/>
      <c r="C32" s="54"/>
      <c r="D32" s="54"/>
      <c r="E32" s="54"/>
      <c r="F32" s="54"/>
      <c r="G32" s="54"/>
      <c r="H32" s="54"/>
      <c r="I32" s="54"/>
    </row>
    <row r="33" spans="1:10" x14ac:dyDescent="0.35">
      <c r="A33" s="49"/>
      <c r="B33" s="31"/>
      <c r="C33" s="99" t="s">
        <v>228</v>
      </c>
      <c r="D33" s="100"/>
      <c r="E33" s="100"/>
      <c r="F33" s="100"/>
      <c r="G33" s="100"/>
      <c r="H33" s="100"/>
      <c r="I33" s="101"/>
    </row>
    <row r="34" spans="1:10" x14ac:dyDescent="0.35">
      <c r="B34" s="31"/>
      <c r="C34" s="50" t="s">
        <v>103</v>
      </c>
      <c r="D34" s="50" t="s">
        <v>104</v>
      </c>
      <c r="E34" s="50"/>
      <c r="F34" s="50"/>
      <c r="G34" s="50"/>
      <c r="H34" s="50"/>
      <c r="I34" s="50" t="s">
        <v>105</v>
      </c>
    </row>
    <row r="35" spans="1:10" x14ac:dyDescent="0.35">
      <c r="B35" s="31"/>
      <c r="C35" s="50">
        <v>1170</v>
      </c>
      <c r="D35" s="50">
        <v>0.41499999999999998</v>
      </c>
      <c r="E35" s="50" t="s">
        <v>106</v>
      </c>
      <c r="F35" s="50">
        <f>D35*D36*D37</f>
        <v>0.97966178199999998</v>
      </c>
      <c r="G35" s="50" t="s">
        <v>107</v>
      </c>
      <c r="H35" s="50"/>
      <c r="I35" s="50">
        <v>135</v>
      </c>
      <c r="J35" s="9" t="s">
        <v>108</v>
      </c>
    </row>
    <row r="36" spans="1:10" x14ac:dyDescent="0.35">
      <c r="C36" s="50"/>
      <c r="D36" s="50">
        <v>1.0669999999999999</v>
      </c>
      <c r="E36" s="50" t="s">
        <v>109</v>
      </c>
      <c r="F36" s="50"/>
      <c r="G36" s="50"/>
      <c r="H36" s="50"/>
      <c r="I36" s="50"/>
    </row>
    <row r="37" spans="1:10" x14ac:dyDescent="0.35">
      <c r="C37" s="50"/>
      <c r="D37" s="50">
        <v>2.2124000000000001</v>
      </c>
      <c r="E37" s="50" t="s">
        <v>110</v>
      </c>
      <c r="F37" s="50"/>
      <c r="G37" s="50"/>
      <c r="H37" s="50"/>
      <c r="I37" s="50"/>
    </row>
    <row r="38" spans="1:10" x14ac:dyDescent="0.35">
      <c r="C38" s="29" t="s">
        <v>111</v>
      </c>
    </row>
    <row r="61" spans="1:10" s="12" customFormat="1" ht="15" x14ac:dyDescent="0.3">
      <c r="A61" s="19">
        <v>1</v>
      </c>
      <c r="B61" s="12" t="s">
        <v>74</v>
      </c>
      <c r="J61" s="13"/>
    </row>
    <row r="62" spans="1:10" s="12" customFormat="1" ht="15" x14ac:dyDescent="0.3">
      <c r="A62" s="19">
        <v>2</v>
      </c>
      <c r="B62" s="12" t="s">
        <v>75</v>
      </c>
      <c r="J62" s="13"/>
    </row>
    <row r="63" spans="1:10" s="12" customFormat="1" ht="15" x14ac:dyDescent="0.3">
      <c r="A63" s="19">
        <v>3</v>
      </c>
      <c r="B63" s="12" t="s">
        <v>76</v>
      </c>
      <c r="J63" s="13"/>
    </row>
    <row r="64" spans="1:10" s="12" customFormat="1" ht="15" x14ac:dyDescent="0.3">
      <c r="A64" s="19">
        <v>4</v>
      </c>
      <c r="B64" s="12" t="s">
        <v>77</v>
      </c>
      <c r="J64" s="13"/>
    </row>
    <row r="65" spans="1:10" s="12" customFormat="1" ht="15" x14ac:dyDescent="0.3">
      <c r="A65" s="19">
        <v>5</v>
      </c>
      <c r="B65" s="12" t="s">
        <v>78</v>
      </c>
      <c r="J65" s="13"/>
    </row>
    <row r="66" spans="1:10" s="12" customFormat="1" ht="15" x14ac:dyDescent="0.3">
      <c r="A66" s="19">
        <v>6</v>
      </c>
      <c r="B66" s="12" t="s">
        <v>79</v>
      </c>
      <c r="J66" s="13"/>
    </row>
    <row r="67" spans="1:10" s="12" customFormat="1" ht="15" x14ac:dyDescent="0.3">
      <c r="A67" s="19">
        <v>7</v>
      </c>
      <c r="B67" s="12" t="s">
        <v>80</v>
      </c>
      <c r="J67" s="13"/>
    </row>
    <row r="68" spans="1:10" s="12" customFormat="1" ht="15" x14ac:dyDescent="0.3">
      <c r="A68" s="19">
        <v>8</v>
      </c>
      <c r="B68" s="12" t="s">
        <v>81</v>
      </c>
      <c r="J68" s="13"/>
    </row>
    <row r="69" spans="1:10" s="12" customFormat="1" ht="15" x14ac:dyDescent="0.3">
      <c r="A69" s="19">
        <v>9</v>
      </c>
      <c r="B69" s="12" t="s">
        <v>82</v>
      </c>
      <c r="J69" s="13"/>
    </row>
    <row r="70" spans="1:10" s="12" customFormat="1" ht="15" x14ac:dyDescent="0.3">
      <c r="A70" s="19">
        <v>10</v>
      </c>
      <c r="B70" s="12" t="s">
        <v>83</v>
      </c>
      <c r="J70" s="13"/>
    </row>
    <row r="71" spans="1:10" s="12" customFormat="1" ht="15" x14ac:dyDescent="0.3">
      <c r="A71" s="19">
        <v>11</v>
      </c>
      <c r="B71" s="12" t="s">
        <v>84</v>
      </c>
      <c r="J71" s="13"/>
    </row>
    <row r="72" spans="1:10" s="12" customFormat="1" ht="15" x14ac:dyDescent="0.3">
      <c r="A72" s="19">
        <v>12</v>
      </c>
      <c r="B72" s="12" t="s">
        <v>85</v>
      </c>
      <c r="J72" s="13"/>
    </row>
    <row r="73" spans="1:10" s="12" customFormat="1" ht="15" x14ac:dyDescent="0.3">
      <c r="A73" s="19">
        <v>13</v>
      </c>
      <c r="B73" s="12" t="s">
        <v>86</v>
      </c>
      <c r="J73" s="13"/>
    </row>
    <row r="74" spans="1:10" s="12" customFormat="1" ht="15" x14ac:dyDescent="0.3">
      <c r="A74" s="19">
        <v>14</v>
      </c>
      <c r="B74" s="12" t="s">
        <v>87</v>
      </c>
      <c r="J74" s="13"/>
    </row>
    <row r="75" spans="1:10" s="12" customFormat="1" ht="15" x14ac:dyDescent="0.3">
      <c r="A75" s="19">
        <v>15</v>
      </c>
      <c r="B75" s="12" t="s">
        <v>88</v>
      </c>
      <c r="J75" s="13"/>
    </row>
    <row r="76" spans="1:10" s="12" customFormat="1" ht="15" x14ac:dyDescent="0.3">
      <c r="A76" s="19">
        <v>16</v>
      </c>
      <c r="B76" s="12" t="s">
        <v>89</v>
      </c>
      <c r="J76" s="13"/>
    </row>
    <row r="77" spans="1:10" s="12" customFormat="1" ht="15" x14ac:dyDescent="0.3">
      <c r="A77" s="19">
        <v>17</v>
      </c>
      <c r="B77" s="12" t="s">
        <v>90</v>
      </c>
      <c r="J77" s="13"/>
    </row>
    <row r="78" spans="1:10" s="12" customFormat="1" ht="15" x14ac:dyDescent="0.3">
      <c r="A78" s="19">
        <v>18</v>
      </c>
      <c r="B78" s="12" t="s">
        <v>91</v>
      </c>
      <c r="J78" s="13"/>
    </row>
    <row r="79" spans="1:10" s="12" customFormat="1" ht="15" x14ac:dyDescent="0.3">
      <c r="A79" s="19">
        <v>19</v>
      </c>
      <c r="B79" s="12" t="s">
        <v>92</v>
      </c>
      <c r="J79" s="13"/>
    </row>
    <row r="80" spans="1:10" s="12" customFormat="1" ht="15" x14ac:dyDescent="0.3">
      <c r="A80" s="19">
        <v>20</v>
      </c>
      <c r="B80" s="12" t="s">
        <v>93</v>
      </c>
      <c r="J80" s="13"/>
    </row>
    <row r="81" spans="1:10" s="12" customFormat="1" ht="15" x14ac:dyDescent="0.3">
      <c r="A81" s="19">
        <v>21</v>
      </c>
      <c r="B81" s="12" t="s">
        <v>94</v>
      </c>
      <c r="J81" s="13"/>
    </row>
    <row r="82" spans="1:10" s="12" customFormat="1" ht="15" x14ac:dyDescent="0.3">
      <c r="A82" s="19">
        <v>22</v>
      </c>
      <c r="B82" s="12" t="s">
        <v>95</v>
      </c>
      <c r="J82" s="13"/>
    </row>
    <row r="83" spans="1:10" s="12" customFormat="1" ht="15" x14ac:dyDescent="0.3">
      <c r="A83" s="19">
        <v>23</v>
      </c>
      <c r="B83" s="12" t="s">
        <v>96</v>
      </c>
      <c r="J83" s="13"/>
    </row>
    <row r="84" spans="1:10" s="12" customFormat="1" ht="15" x14ac:dyDescent="0.3">
      <c r="A84" s="51">
        <v>24</v>
      </c>
      <c r="B84" s="52" t="s">
        <v>136</v>
      </c>
      <c r="J84" s="13"/>
    </row>
  </sheetData>
  <mergeCells count="14">
    <mergeCell ref="I17:I18"/>
    <mergeCell ref="J6:J7"/>
    <mergeCell ref="J8:J9"/>
    <mergeCell ref="K1:M1"/>
    <mergeCell ref="C33:I33"/>
    <mergeCell ref="I11:I14"/>
    <mergeCell ref="I15:I16"/>
    <mergeCell ref="J15:J16"/>
    <mergeCell ref="J29:J30"/>
    <mergeCell ref="I20:I30"/>
    <mergeCell ref="J11:J12"/>
    <mergeCell ref="J3:J5"/>
    <mergeCell ref="I3:I10"/>
    <mergeCell ref="J1:J2"/>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100-000000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Data!B3:G3</xm:f>
              <xm:sqref>H3</xm:sqref>
            </x14:sparkline>
            <x14:sparkline>
              <xm:f>Data!B4:G4</xm:f>
              <xm:sqref>H4</xm:sqref>
            </x14:sparkline>
            <x14:sparkline>
              <xm:f>Data!B5:G5</xm:f>
              <xm:sqref>H5</xm:sqref>
            </x14:sparkline>
            <x14:sparkline>
              <xm:f>Data!B6:G6</xm:f>
              <xm:sqref>H6</xm:sqref>
            </x14:sparkline>
            <x14:sparkline>
              <xm:f>Data!B7:G7</xm:f>
              <xm:sqref>H7</xm:sqref>
            </x14:sparkline>
            <x14:sparkline>
              <xm:f>Data!B8:G8</xm:f>
              <xm:sqref>H8</xm:sqref>
            </x14:sparkline>
            <x14:sparkline>
              <xm:f>Data!B9:G9</xm:f>
              <xm:sqref>H9</xm:sqref>
            </x14:sparkline>
            <x14:sparkline>
              <xm:f>Data!B10:G10</xm:f>
              <xm:sqref>H10</xm:sqref>
            </x14:sparkline>
            <x14:sparkline>
              <xm:f>Data!B11:G11</xm:f>
              <xm:sqref>H11</xm:sqref>
            </x14:sparkline>
            <x14:sparkline>
              <xm:f>Data!B12:G12</xm:f>
              <xm:sqref>H12</xm:sqref>
            </x14:sparkline>
            <x14:sparkline>
              <xm:f>Data!B13:G13</xm:f>
              <xm:sqref>H13</xm:sqref>
            </x14:sparkline>
            <x14:sparkline>
              <xm:f>Data!B14:G14</xm:f>
              <xm:sqref>H14</xm:sqref>
            </x14:sparkline>
            <x14:sparkline>
              <xm:f>Data!B15:G15</xm:f>
              <xm:sqref>H15</xm:sqref>
            </x14:sparkline>
            <x14:sparkline>
              <xm:f>Data!B16:G16</xm:f>
              <xm:sqref>H16</xm:sqref>
            </x14:sparkline>
            <x14:sparkline>
              <xm:f>Data!B17:G17</xm:f>
              <xm:sqref>H17</xm:sqref>
            </x14:sparkline>
            <x14:sparkline>
              <xm:f>Data!B18:G18</xm:f>
              <xm:sqref>H18</xm:sqref>
            </x14:sparkline>
            <x14:sparkline>
              <xm:f>Data!B19:G19</xm:f>
              <xm:sqref>H19</xm:sqref>
            </x14:sparkline>
            <x14:sparkline>
              <xm:f>Data!B20:G20</xm:f>
              <xm:sqref>H20</xm:sqref>
            </x14:sparkline>
            <x14:sparkline>
              <xm:f>Data!B21:G21</xm:f>
              <xm:sqref>H21</xm:sqref>
            </x14:sparkline>
            <x14:sparkline>
              <xm:f>Data!B22:G22</xm:f>
              <xm:sqref>H22</xm:sqref>
            </x14:sparkline>
            <x14:sparkline>
              <xm:f>Data!B23:G23</xm:f>
              <xm:sqref>H23</xm:sqref>
            </x14:sparkline>
            <x14:sparkline>
              <xm:f>Data!B24:G24</xm:f>
              <xm:sqref>H24</xm:sqref>
            </x14:sparkline>
            <x14:sparkline>
              <xm:f>Data!B25:G25</xm:f>
              <xm:sqref>H25</xm:sqref>
            </x14:sparkline>
            <x14:sparkline>
              <xm:f>Data!B26:G26</xm:f>
              <xm:sqref>H26</xm:sqref>
            </x14:sparkline>
            <x14:sparkline>
              <xm:f>Data!B27:G27</xm:f>
              <xm:sqref>H27</xm:sqref>
            </x14:sparkline>
            <x14:sparkline>
              <xm:f>Data!B28:G28</xm:f>
              <xm:sqref>H28</xm:sqref>
            </x14:sparkline>
            <x14:sparkline>
              <xm:f>Data!B29:G29</xm:f>
              <xm:sqref>H29</xm:sqref>
            </x14:sparkline>
            <x14:sparkline>
              <xm:f>Data!B30:G30</xm:f>
              <xm:sqref>H30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4"/>
  <sheetViews>
    <sheetView workbookViewId="0">
      <pane xSplit="1" ySplit="2" topLeftCell="B3" activePane="bottomRight" state="frozen"/>
      <selection pane="topRight" activeCell="B1" sqref="B1"/>
      <selection pane="bottomLeft" activeCell="A3" sqref="A3"/>
      <selection pane="bottomRight" activeCell="A38" sqref="A38"/>
    </sheetView>
  </sheetViews>
  <sheetFormatPr baseColWidth="10" defaultColWidth="10.28515625" defaultRowHeight="18" x14ac:dyDescent="0.35"/>
  <cols>
    <col min="1" max="1" width="66.7109375" style="8" customWidth="1"/>
    <col min="2" max="9" width="9.85546875" style="8" customWidth="1"/>
    <col min="10" max="10" width="13.42578125" style="8" customWidth="1"/>
    <col min="11" max="16" width="9.85546875" style="8" customWidth="1"/>
    <col min="17" max="17" width="10.28515625" style="8"/>
    <col min="18" max="18" width="10.28515625" style="8" customWidth="1"/>
    <col min="19" max="20" width="12.7109375" style="8" customWidth="1"/>
    <col min="21" max="21" width="10.28515625" style="8" customWidth="1"/>
    <col min="22" max="23" width="12.7109375" style="8" customWidth="1"/>
    <col min="24" max="24" width="10.28515625" style="8" customWidth="1"/>
    <col min="25" max="26" width="12.7109375" style="8" customWidth="1"/>
    <col min="27" max="27" width="23.7109375" style="8" customWidth="1"/>
    <col min="28" max="16384" width="10.28515625" style="8"/>
  </cols>
  <sheetData>
    <row r="1" spans="1:27" ht="30.75" customHeight="1" x14ac:dyDescent="0.35">
      <c r="A1" s="50"/>
      <c r="B1" s="50"/>
      <c r="C1" s="50"/>
      <c r="D1" s="50"/>
      <c r="E1" s="50"/>
      <c r="F1" s="106" t="s">
        <v>0</v>
      </c>
      <c r="G1" s="106"/>
      <c r="H1" s="106" t="s">
        <v>1</v>
      </c>
      <c r="I1" s="106"/>
      <c r="J1" s="55"/>
      <c r="K1" s="106" t="s">
        <v>2</v>
      </c>
      <c r="L1" s="106"/>
      <c r="M1" s="106" t="s">
        <v>3</v>
      </c>
      <c r="N1" s="106"/>
      <c r="O1" s="106" t="s">
        <v>4</v>
      </c>
      <c r="P1" s="106"/>
      <c r="Q1" s="22"/>
      <c r="R1" s="56" t="s">
        <v>5</v>
      </c>
      <c r="S1" s="56" t="s">
        <v>6</v>
      </c>
      <c r="T1" s="56" t="s">
        <v>7</v>
      </c>
      <c r="U1" s="57" t="s">
        <v>5</v>
      </c>
      <c r="V1" s="57" t="s">
        <v>6</v>
      </c>
      <c r="W1" s="57" t="s">
        <v>7</v>
      </c>
      <c r="X1" s="57" t="s">
        <v>5</v>
      </c>
      <c r="Y1" s="57" t="s">
        <v>6</v>
      </c>
      <c r="Z1" s="57" t="s">
        <v>7</v>
      </c>
      <c r="AA1" s="56" t="s">
        <v>114</v>
      </c>
    </row>
    <row r="2" spans="1:27" ht="18" customHeight="1" x14ac:dyDescent="0.35">
      <c r="A2" s="20" t="s">
        <v>8</v>
      </c>
      <c r="B2" s="58" t="s">
        <v>115</v>
      </c>
      <c r="C2" s="58">
        <v>2020</v>
      </c>
      <c r="D2" s="58">
        <v>2030</v>
      </c>
      <c r="E2" s="58">
        <v>2050</v>
      </c>
      <c r="F2" s="59" t="s">
        <v>9</v>
      </c>
      <c r="G2" s="50" t="s">
        <v>10</v>
      </c>
      <c r="H2" s="50" t="s">
        <v>9</v>
      </c>
      <c r="I2" s="50" t="s">
        <v>10</v>
      </c>
      <c r="J2" s="59" t="s">
        <v>11</v>
      </c>
      <c r="K2" s="50" t="s">
        <v>9</v>
      </c>
      <c r="L2" s="50" t="s">
        <v>10</v>
      </c>
      <c r="M2" s="50" t="s">
        <v>9</v>
      </c>
      <c r="N2" s="50" t="s">
        <v>10</v>
      </c>
      <c r="O2" s="50" t="s">
        <v>9</v>
      </c>
      <c r="P2" s="50" t="s">
        <v>10</v>
      </c>
      <c r="Q2" s="22"/>
      <c r="R2" s="57">
        <v>2020</v>
      </c>
      <c r="S2" s="60">
        <f>K3</f>
        <v>-0.16666666666666666</v>
      </c>
      <c r="T2" s="61">
        <f>L3</f>
        <v>0.5</v>
      </c>
      <c r="U2" s="57">
        <v>2020</v>
      </c>
      <c r="V2" s="60">
        <f>K4</f>
        <v>-0.1111111111111111</v>
      </c>
      <c r="W2" s="60">
        <f>L4</f>
        <v>0.16666666666666666</v>
      </c>
      <c r="X2" s="57">
        <v>2020</v>
      </c>
      <c r="Y2" s="60">
        <f>K5</f>
        <v>-1.098901098901099E-2</v>
      </c>
      <c r="Z2" s="60">
        <f>L5</f>
        <v>1.098901098901099E-2</v>
      </c>
      <c r="AA2" s="103" t="s">
        <v>205</v>
      </c>
    </row>
    <row r="3" spans="1:27" ht="20.100000000000001" customHeight="1" x14ac:dyDescent="0.35">
      <c r="A3" s="20" t="s">
        <v>167</v>
      </c>
      <c r="B3" s="26" t="s">
        <v>116</v>
      </c>
      <c r="C3" s="62">
        <v>6</v>
      </c>
      <c r="D3" s="62">
        <v>7</v>
      </c>
      <c r="E3" s="62">
        <v>8</v>
      </c>
      <c r="F3" s="62">
        <v>5</v>
      </c>
      <c r="G3" s="62">
        <v>9</v>
      </c>
      <c r="H3" s="62">
        <v>7</v>
      </c>
      <c r="I3" s="62">
        <v>12</v>
      </c>
      <c r="J3" s="111" t="s">
        <v>53</v>
      </c>
      <c r="K3" s="21">
        <f>(F3-$C$3)/$C$3</f>
        <v>-0.16666666666666666</v>
      </c>
      <c r="L3" s="21">
        <f>(G3-$C$3)/$C$3</f>
        <v>0.5</v>
      </c>
      <c r="M3" s="21">
        <f>(0.001389*D2)-2.972222</f>
        <v>-0.15255200000000002</v>
      </c>
      <c r="N3" s="63">
        <f>L3</f>
        <v>0.5</v>
      </c>
      <c r="O3" s="21">
        <f>(H3-$E$3)/$E$3</f>
        <v>-0.125</v>
      </c>
      <c r="P3" s="21">
        <f>(I3-$E$3)/$E$3</f>
        <v>0.5</v>
      </c>
      <c r="Q3" s="23"/>
      <c r="R3" s="57">
        <v>2050</v>
      </c>
      <c r="S3" s="60">
        <f>O3</f>
        <v>-0.125</v>
      </c>
      <c r="T3" s="61">
        <f>P3</f>
        <v>0.5</v>
      </c>
      <c r="U3" s="57">
        <v>2050</v>
      </c>
      <c r="V3" s="60">
        <f>O4</f>
        <v>-8.3333333333333329E-2</v>
      </c>
      <c r="W3" s="60">
        <f>P4</f>
        <v>0.16666666666666666</v>
      </c>
      <c r="X3" s="57">
        <v>2050</v>
      </c>
      <c r="Y3" s="60">
        <f>O5</f>
        <v>-1.0869565217391304E-2</v>
      </c>
      <c r="Z3" s="60">
        <f>P5</f>
        <v>2.1739130434782608E-2</v>
      </c>
      <c r="AA3" s="104"/>
    </row>
    <row r="4" spans="1:27" ht="20.100000000000001" customHeight="1" x14ac:dyDescent="0.35">
      <c r="A4" s="20" t="s">
        <v>168</v>
      </c>
      <c r="B4" s="26" t="s">
        <v>117</v>
      </c>
      <c r="C4" s="62">
        <v>18</v>
      </c>
      <c r="D4" s="62">
        <v>21</v>
      </c>
      <c r="E4" s="62">
        <v>24</v>
      </c>
      <c r="F4" s="62">
        <v>16</v>
      </c>
      <c r="G4" s="62">
        <v>21</v>
      </c>
      <c r="H4" s="62">
        <v>22</v>
      </c>
      <c r="I4" s="62">
        <v>28</v>
      </c>
      <c r="J4" s="111"/>
      <c r="K4" s="21">
        <f>(F4-$C$4)/$C$4</f>
        <v>-0.1111111111111111</v>
      </c>
      <c r="L4" s="21">
        <f>(G4-$C$4)/$C$4</f>
        <v>0.16666666666666666</v>
      </c>
      <c r="M4" s="63">
        <f>(0.000926*D2)-1.981481</f>
        <v>-0.10170100000000004</v>
      </c>
      <c r="N4" s="63">
        <f>L4</f>
        <v>0.16666666666666666</v>
      </c>
      <c r="O4" s="21">
        <f>(H4-$E$4)/$E$4</f>
        <v>-8.3333333333333329E-2</v>
      </c>
      <c r="P4" s="21">
        <f>(I4-$E$4)/$E$4</f>
        <v>0.16666666666666666</v>
      </c>
      <c r="Q4" s="23"/>
      <c r="R4" s="57" t="s">
        <v>5</v>
      </c>
      <c r="S4" s="57" t="s">
        <v>6</v>
      </c>
      <c r="T4" s="57" t="s">
        <v>7</v>
      </c>
      <c r="U4" s="57" t="s">
        <v>5</v>
      </c>
      <c r="V4" s="57" t="s">
        <v>6</v>
      </c>
      <c r="W4" s="57" t="s">
        <v>7</v>
      </c>
      <c r="X4" s="57" t="s">
        <v>5</v>
      </c>
      <c r="Y4" s="57" t="s">
        <v>6</v>
      </c>
      <c r="Z4" s="57" t="s">
        <v>7</v>
      </c>
      <c r="AA4" s="104"/>
    </row>
    <row r="5" spans="1:27" ht="20.100000000000001" customHeight="1" x14ac:dyDescent="0.35">
      <c r="A5" s="20" t="s">
        <v>192</v>
      </c>
      <c r="B5" s="26" t="s">
        <v>118</v>
      </c>
      <c r="C5" s="62">
        <v>91</v>
      </c>
      <c r="D5" s="62">
        <v>92</v>
      </c>
      <c r="E5" s="62">
        <v>92</v>
      </c>
      <c r="F5" s="62">
        <v>90</v>
      </c>
      <c r="G5" s="62">
        <v>92</v>
      </c>
      <c r="H5" s="62">
        <v>91</v>
      </c>
      <c r="I5" s="62">
        <v>94</v>
      </c>
      <c r="J5" s="111"/>
      <c r="K5" s="21">
        <f>(F5-$C$5)/$C$5</f>
        <v>-1.098901098901099E-2</v>
      </c>
      <c r="L5" s="21">
        <f>(G5-$C$5)/$C$5</f>
        <v>1.098901098901099E-2</v>
      </c>
      <c r="M5" s="63">
        <f>K5</f>
        <v>-1.098901098901099E-2</v>
      </c>
      <c r="N5" s="63">
        <f>(0.000358*D2)-0.712852</f>
        <v>1.38879999999999E-2</v>
      </c>
      <c r="O5" s="21">
        <f>(H5-$E$5)/$E$5</f>
        <v>-1.0869565217391304E-2</v>
      </c>
      <c r="P5" s="21">
        <f>(I5-$E$5)/$E$5</f>
        <v>2.1739130434782608E-2</v>
      </c>
      <c r="Q5" s="23"/>
      <c r="R5" s="57">
        <v>2020</v>
      </c>
      <c r="S5" s="60">
        <f>K6</f>
        <v>0</v>
      </c>
      <c r="T5" s="60">
        <f>L6</f>
        <v>5.1020408163265302E-3</v>
      </c>
      <c r="U5" s="57">
        <v>2020</v>
      </c>
      <c r="V5" s="60">
        <f>K7</f>
        <v>-0.5</v>
      </c>
      <c r="W5" s="60">
        <f>L7</f>
        <v>1</v>
      </c>
      <c r="X5" s="57">
        <v>2020</v>
      </c>
      <c r="Y5" s="60">
        <f>K8</f>
        <v>-0.47368421052631576</v>
      </c>
      <c r="Z5" s="60">
        <f>L8</f>
        <v>0.31578947368421051</v>
      </c>
      <c r="AA5" s="104"/>
    </row>
    <row r="6" spans="1:27" ht="20.100000000000001" customHeight="1" x14ac:dyDescent="0.35">
      <c r="A6" s="20" t="s">
        <v>172</v>
      </c>
      <c r="B6" s="26" t="s">
        <v>119</v>
      </c>
      <c r="C6" s="62">
        <v>98</v>
      </c>
      <c r="D6" s="62">
        <v>98.5</v>
      </c>
      <c r="E6" s="62">
        <v>98.5</v>
      </c>
      <c r="F6" s="62">
        <v>98</v>
      </c>
      <c r="G6" s="62">
        <v>98.5</v>
      </c>
      <c r="H6" s="62">
        <v>98</v>
      </c>
      <c r="I6" s="62">
        <v>99</v>
      </c>
      <c r="J6" s="111"/>
      <c r="K6" s="21">
        <f>(F6-$C$6)/$C$6</f>
        <v>0</v>
      </c>
      <c r="L6" s="21">
        <f>(G6-$C$6)/$C$6</f>
        <v>5.1020408163265302E-3</v>
      </c>
      <c r="M6" s="63">
        <f>(-0.000169*D2)+0.341794</f>
        <v>-1.2759999999999994E-3</v>
      </c>
      <c r="N6" s="63">
        <f>L6</f>
        <v>5.1020408163265302E-3</v>
      </c>
      <c r="O6" s="21">
        <f>(H6-$E$6)/$E$6</f>
        <v>-5.076142131979695E-3</v>
      </c>
      <c r="P6" s="21">
        <f>(I6-$E$6)/$E$6</f>
        <v>5.076142131979695E-3</v>
      </c>
      <c r="Q6" s="23"/>
      <c r="R6" s="57">
        <v>2050</v>
      </c>
      <c r="S6" s="60">
        <f>O6</f>
        <v>-5.076142131979695E-3</v>
      </c>
      <c r="T6" s="60">
        <f>P6</f>
        <v>5.076142131979695E-3</v>
      </c>
      <c r="U6" s="57">
        <v>2050</v>
      </c>
      <c r="V6" s="60">
        <f>O7</f>
        <v>-0.5</v>
      </c>
      <c r="W6" s="60">
        <f>P7</f>
        <v>0.49999999999999989</v>
      </c>
      <c r="X6" s="57">
        <v>2050</v>
      </c>
      <c r="Y6" s="60">
        <f>O8</f>
        <v>-0.6</v>
      </c>
      <c r="Z6" s="60">
        <f>P8</f>
        <v>0.19999999999999996</v>
      </c>
      <c r="AA6" s="104"/>
    </row>
    <row r="7" spans="1:27" ht="20.100000000000001" customHeight="1" x14ac:dyDescent="0.35">
      <c r="A7" s="20" t="s">
        <v>174</v>
      </c>
      <c r="B7" s="26" t="s">
        <v>120</v>
      </c>
      <c r="C7" s="62">
        <v>0.1</v>
      </c>
      <c r="D7" s="62">
        <v>0.1</v>
      </c>
      <c r="E7" s="62">
        <v>0.1</v>
      </c>
      <c r="F7" s="62">
        <v>0.05</v>
      </c>
      <c r="G7" s="62">
        <v>0.2</v>
      </c>
      <c r="H7" s="62">
        <v>0.05</v>
      </c>
      <c r="I7" s="62">
        <v>0.15</v>
      </c>
      <c r="J7" s="111"/>
      <c r="K7" s="21">
        <f>(F7-$C$7)/$C$7</f>
        <v>-0.5</v>
      </c>
      <c r="L7" s="21">
        <f>(G7-$C$7)/$C$7</f>
        <v>1</v>
      </c>
      <c r="M7" s="63">
        <f>K7</f>
        <v>-0.5</v>
      </c>
      <c r="N7" s="63">
        <f>(-0.016667*D2)+34.666667</f>
        <v>0.83265699999999754</v>
      </c>
      <c r="O7" s="21">
        <f>(H7-$E$7)/$E$7</f>
        <v>-0.5</v>
      </c>
      <c r="P7" s="21">
        <f>(I7-$E$7)/$E$7</f>
        <v>0.49999999999999989</v>
      </c>
      <c r="Q7" s="23"/>
      <c r="R7" s="57" t="s">
        <v>5</v>
      </c>
      <c r="S7" s="57" t="s">
        <v>6</v>
      </c>
      <c r="T7" s="57" t="s">
        <v>7</v>
      </c>
      <c r="U7" s="57" t="s">
        <v>5</v>
      </c>
      <c r="V7" s="57" t="s">
        <v>6</v>
      </c>
      <c r="W7" s="57" t="s">
        <v>7</v>
      </c>
      <c r="X7" s="57" t="s">
        <v>5</v>
      </c>
      <c r="Y7" s="57" t="s">
        <v>6</v>
      </c>
      <c r="Z7" s="57" t="s">
        <v>7</v>
      </c>
      <c r="AA7" s="104"/>
    </row>
    <row r="8" spans="1:27" ht="20.100000000000001" customHeight="1" x14ac:dyDescent="0.35">
      <c r="A8" s="20" t="s">
        <v>175</v>
      </c>
      <c r="B8" s="26" t="s">
        <v>121</v>
      </c>
      <c r="C8" s="62">
        <v>0.38</v>
      </c>
      <c r="D8" s="62">
        <v>0.35</v>
      </c>
      <c r="E8" s="62">
        <v>0.25</v>
      </c>
      <c r="F8" s="62">
        <v>0.2</v>
      </c>
      <c r="G8" s="62">
        <v>0.5</v>
      </c>
      <c r="H8" s="62">
        <v>0.1</v>
      </c>
      <c r="I8" s="62">
        <v>0.3</v>
      </c>
      <c r="J8" s="111"/>
      <c r="K8" s="21">
        <f>(F8-$C$8)/$C$8</f>
        <v>-0.47368421052631576</v>
      </c>
      <c r="L8" s="21">
        <f>(G8-$C$8)/$C$8</f>
        <v>0.31578947368421051</v>
      </c>
      <c r="M8" s="63">
        <f>(-0.004211*D2)+8.031579</f>
        <v>-0.51675099999999929</v>
      </c>
      <c r="N8" s="63">
        <f>(-0.00386*D2)+8.112281</f>
        <v>0.27648099999999953</v>
      </c>
      <c r="O8" s="21">
        <f>(H8-$E$8)/$E$8</f>
        <v>-0.6</v>
      </c>
      <c r="P8" s="21">
        <f>(I8-$E$8)/$E$8</f>
        <v>0.19999999999999996</v>
      </c>
      <c r="Q8" s="23"/>
      <c r="R8" s="57">
        <v>2020</v>
      </c>
      <c r="S8" s="60">
        <f>K9</f>
        <v>-0.5</v>
      </c>
      <c r="T8" s="60">
        <f>L9</f>
        <v>0.24999999999999994</v>
      </c>
      <c r="U8" s="57">
        <v>2020</v>
      </c>
      <c r="V8" s="60">
        <f>K10</f>
        <v>-0.25</v>
      </c>
      <c r="W8" s="60">
        <f>L10</f>
        <v>0.25</v>
      </c>
      <c r="X8" s="57">
        <v>2020</v>
      </c>
      <c r="Y8" s="60">
        <f>K11</f>
        <v>0</v>
      </c>
      <c r="Z8" s="60">
        <f>L11</f>
        <v>0.24999999999999994</v>
      </c>
      <c r="AA8" s="104"/>
    </row>
    <row r="9" spans="1:27" ht="20.100000000000001" customHeight="1" x14ac:dyDescent="0.35">
      <c r="A9" s="20" t="s">
        <v>176</v>
      </c>
      <c r="B9" s="26" t="s">
        <v>122</v>
      </c>
      <c r="C9" s="62">
        <v>0.2</v>
      </c>
      <c r="D9" s="62">
        <v>0.1</v>
      </c>
      <c r="E9" s="62">
        <v>0.1</v>
      </c>
      <c r="F9" s="62">
        <v>0.1</v>
      </c>
      <c r="G9" s="62">
        <v>0.25</v>
      </c>
      <c r="H9" s="62">
        <v>0.05</v>
      </c>
      <c r="I9" s="62">
        <v>0.2</v>
      </c>
      <c r="J9" s="111"/>
      <c r="K9" s="21">
        <f>(F9-$C$9)/$C$9</f>
        <v>-0.5</v>
      </c>
      <c r="L9" s="21">
        <f>(G9-$C$9)/$C$9</f>
        <v>0.24999999999999994</v>
      </c>
      <c r="M9" s="63">
        <f>K9</f>
        <v>-0.5</v>
      </c>
      <c r="N9" s="63">
        <f>(0.025*D2)-50.25</f>
        <v>0.5</v>
      </c>
      <c r="O9" s="21">
        <f>(H9-$E$9)/$E$9</f>
        <v>-0.5</v>
      </c>
      <c r="P9" s="21">
        <f>(I9-$E$9)/$E$9</f>
        <v>1</v>
      </c>
      <c r="Q9" s="23"/>
      <c r="R9" s="57">
        <v>2050</v>
      </c>
      <c r="S9" s="60">
        <f>O9</f>
        <v>-0.5</v>
      </c>
      <c r="T9" s="60">
        <f>P9</f>
        <v>1</v>
      </c>
      <c r="U9" s="57">
        <v>2050</v>
      </c>
      <c r="V9" s="60">
        <f>O10</f>
        <v>-0.33333333333333331</v>
      </c>
      <c r="W9" s="60">
        <f>P10</f>
        <v>0.5</v>
      </c>
      <c r="X9" s="57">
        <v>2050</v>
      </c>
      <c r="Y9" s="60">
        <f>O11</f>
        <v>-0.5</v>
      </c>
      <c r="Z9" s="60">
        <f>P11</f>
        <v>0.24999999999999994</v>
      </c>
      <c r="AA9" s="104"/>
    </row>
    <row r="10" spans="1:27" ht="20.100000000000001" customHeight="1" x14ac:dyDescent="0.35">
      <c r="A10" s="20" t="s">
        <v>177</v>
      </c>
      <c r="B10" s="26" t="s">
        <v>123</v>
      </c>
      <c r="C10" s="62">
        <v>20</v>
      </c>
      <c r="D10" s="62">
        <v>25</v>
      </c>
      <c r="E10" s="62">
        <v>30</v>
      </c>
      <c r="F10" s="62">
        <v>15</v>
      </c>
      <c r="G10" s="62">
        <v>25</v>
      </c>
      <c r="H10" s="62">
        <v>20</v>
      </c>
      <c r="I10" s="62">
        <v>45</v>
      </c>
      <c r="J10" s="111"/>
      <c r="K10" s="21">
        <f>(F10-$C$10)/$C$10</f>
        <v>-0.25</v>
      </c>
      <c r="L10" s="21">
        <f>(G10-$C$10)/$C$10</f>
        <v>0.25</v>
      </c>
      <c r="M10" s="63">
        <f>(-0.002778*D2)+5.361111</f>
        <v>-0.27822899999999962</v>
      </c>
      <c r="N10" s="63">
        <f>(0.008333*D2)-16.583333</f>
        <v>0.33265700000000109</v>
      </c>
      <c r="O10" s="21">
        <f>(H10-$E$10)/$E$10</f>
        <v>-0.33333333333333331</v>
      </c>
      <c r="P10" s="21">
        <f>(I10-$E$10)/$E$10</f>
        <v>0.5</v>
      </c>
      <c r="Q10" s="23"/>
      <c r="R10" s="57" t="s">
        <v>5</v>
      </c>
      <c r="S10" s="57" t="s">
        <v>6</v>
      </c>
      <c r="T10" s="57" t="s">
        <v>7</v>
      </c>
      <c r="U10" s="57" t="s">
        <v>5</v>
      </c>
      <c r="V10" s="57" t="s">
        <v>6</v>
      </c>
      <c r="W10" s="57" t="s">
        <v>7</v>
      </c>
      <c r="X10" s="57" t="s">
        <v>5</v>
      </c>
      <c r="Y10" s="57" t="s">
        <v>6</v>
      </c>
      <c r="Z10" s="57" t="s">
        <v>7</v>
      </c>
      <c r="AA10" s="104"/>
    </row>
    <row r="11" spans="1:27" ht="20.100000000000001" customHeight="1" x14ac:dyDescent="0.35">
      <c r="A11" s="20" t="s">
        <v>178</v>
      </c>
      <c r="B11" s="26" t="s">
        <v>124</v>
      </c>
      <c r="C11" s="62">
        <v>0.2</v>
      </c>
      <c r="D11" s="62">
        <v>0.2</v>
      </c>
      <c r="E11" s="62">
        <v>0.2</v>
      </c>
      <c r="F11" s="62">
        <v>0.2</v>
      </c>
      <c r="G11" s="62">
        <v>0.25</v>
      </c>
      <c r="H11" s="62">
        <v>0.1</v>
      </c>
      <c r="I11" s="62">
        <v>0.25</v>
      </c>
      <c r="J11" s="111"/>
      <c r="K11" s="21">
        <f>(F11-$C$11)/$C$11</f>
        <v>0</v>
      </c>
      <c r="L11" s="21">
        <f>(G11-$C$11)/$C$11</f>
        <v>0.24999999999999994</v>
      </c>
      <c r="M11" s="63">
        <f>(-0.016667*D2)+33.666667</f>
        <v>-0.16734300000000246</v>
      </c>
      <c r="N11" s="63">
        <f>L11</f>
        <v>0.24999999999999994</v>
      </c>
      <c r="O11" s="21">
        <f>(H11-$E$11)/$E$11</f>
        <v>-0.5</v>
      </c>
      <c r="P11" s="21">
        <f>(I11-$E$11)/$E$11</f>
        <v>0.24999999999999994</v>
      </c>
      <c r="Q11" s="23"/>
      <c r="R11" s="57">
        <v>2020</v>
      </c>
      <c r="S11" s="60">
        <f>K12</f>
        <v>-0.46969696969696967</v>
      </c>
      <c r="T11" s="60">
        <f>L12</f>
        <v>0.43181818181818177</v>
      </c>
      <c r="U11" s="57">
        <v>2020</v>
      </c>
      <c r="V11" s="60">
        <f>K13</f>
        <v>-0.1111111111111112</v>
      </c>
      <c r="W11" s="60">
        <f>L13</f>
        <v>0.88888888888888884</v>
      </c>
      <c r="X11" s="57">
        <v>2020</v>
      </c>
      <c r="Y11" s="60">
        <f>K14</f>
        <v>-0.10000000000000009</v>
      </c>
      <c r="Z11" s="60">
        <f>L14</f>
        <v>9.999999999999995E-2</v>
      </c>
      <c r="AA11" s="104"/>
    </row>
    <row r="12" spans="1:27" ht="20.100000000000001" customHeight="1" x14ac:dyDescent="0.35">
      <c r="A12" s="20" t="s">
        <v>193</v>
      </c>
      <c r="B12" s="26" t="s">
        <v>125</v>
      </c>
      <c r="C12" s="62">
        <v>0.13200000000000001</v>
      </c>
      <c r="D12" s="62">
        <v>6.2E-2</v>
      </c>
      <c r="E12" s="62">
        <v>3.5000000000000003E-2</v>
      </c>
      <c r="F12" s="62">
        <v>7.0000000000000007E-2</v>
      </c>
      <c r="G12" s="62">
        <v>0.189</v>
      </c>
      <c r="H12" s="62">
        <v>2.5999999999999999E-2</v>
      </c>
      <c r="I12" s="62">
        <v>0.115</v>
      </c>
      <c r="J12" s="111"/>
      <c r="K12" s="21">
        <f>(F12-$C$12)/$C$12</f>
        <v>-0.46969696969696967</v>
      </c>
      <c r="L12" s="21">
        <f>(G12-$C$12)/$C$12</f>
        <v>0.43181818181818177</v>
      </c>
      <c r="M12" s="63">
        <f>(0.007085*D2)-14.781674</f>
        <v>-0.39912400000000048</v>
      </c>
      <c r="N12" s="63">
        <f>(0.061797*D2)-124.397186</f>
        <v>1.0507239999999882</v>
      </c>
      <c r="O12" s="21">
        <f>(H12-$E$12)/$E$12</f>
        <v>-0.25714285714285723</v>
      </c>
      <c r="P12" s="21">
        <f>(I12-$E$12)/$E$12</f>
        <v>2.2857142857142856</v>
      </c>
      <c r="Q12" s="23"/>
      <c r="R12" s="57">
        <v>2050</v>
      </c>
      <c r="S12" s="60">
        <f>O12</f>
        <v>-0.25714285714285723</v>
      </c>
      <c r="T12" s="60">
        <f>P12</f>
        <v>2.2857142857142856</v>
      </c>
      <c r="U12" s="57">
        <v>2050</v>
      </c>
      <c r="V12" s="60">
        <f>O13</f>
        <v>-0.33333333333333331</v>
      </c>
      <c r="W12" s="60">
        <f>P13</f>
        <v>3.166666666666667</v>
      </c>
      <c r="X12" s="57">
        <v>2050</v>
      </c>
      <c r="Y12" s="60">
        <f>O14</f>
        <v>-0.5</v>
      </c>
      <c r="Z12" s="60">
        <f>P14</f>
        <v>1.7500000000000002</v>
      </c>
      <c r="AA12" s="104"/>
    </row>
    <row r="13" spans="1:27" ht="20.100000000000001" customHeight="1" x14ac:dyDescent="0.35">
      <c r="A13" s="20" t="s">
        <v>194</v>
      </c>
      <c r="B13" s="26" t="s">
        <v>126</v>
      </c>
      <c r="C13" s="62">
        <v>0.27</v>
      </c>
      <c r="D13" s="62">
        <v>0.16</v>
      </c>
      <c r="E13" s="62">
        <v>0.06</v>
      </c>
      <c r="F13" s="62">
        <v>0.24</v>
      </c>
      <c r="G13" s="62">
        <v>0.51</v>
      </c>
      <c r="H13" s="62">
        <v>0.04</v>
      </c>
      <c r="I13" s="62">
        <v>0.25</v>
      </c>
      <c r="J13" s="111"/>
      <c r="K13" s="21">
        <f>(F13-$C$13)/$C$13</f>
        <v>-0.1111111111111112</v>
      </c>
      <c r="L13" s="21">
        <f>(G13-$C$13)/$C$13</f>
        <v>0.88888888888888884</v>
      </c>
      <c r="M13" s="63">
        <f>(-0.007407*D2)+14.851852</f>
        <v>-0.18435800000000135</v>
      </c>
      <c r="N13" s="63">
        <f>(0.075926*D2)-152.481481</f>
        <v>1.6482989999999802</v>
      </c>
      <c r="O13" s="21">
        <f>(H13-$E$13)/$E$13</f>
        <v>-0.33333333333333331</v>
      </c>
      <c r="P13" s="21">
        <f>(I13-$E$13)/$E$13</f>
        <v>3.166666666666667</v>
      </c>
      <c r="Q13" s="23"/>
      <c r="R13" s="57" t="s">
        <v>5</v>
      </c>
      <c r="S13" s="57" t="s">
        <v>6</v>
      </c>
      <c r="T13" s="57" t="s">
        <v>7</v>
      </c>
      <c r="U13" s="57" t="s">
        <v>5</v>
      </c>
      <c r="V13" s="57" t="s">
        <v>6</v>
      </c>
      <c r="W13" s="57" t="s">
        <v>7</v>
      </c>
      <c r="X13" s="57" t="s">
        <v>5</v>
      </c>
      <c r="Y13" s="57" t="s">
        <v>6</v>
      </c>
      <c r="Z13" s="57" t="s">
        <v>7</v>
      </c>
      <c r="AA13" s="104"/>
    </row>
    <row r="14" spans="1:27" ht="20.100000000000001" customHeight="1" x14ac:dyDescent="0.35">
      <c r="A14" s="20" t="s">
        <v>195</v>
      </c>
      <c r="B14" s="26" t="s">
        <v>127</v>
      </c>
      <c r="C14" s="62">
        <v>0.1</v>
      </c>
      <c r="D14" s="62">
        <v>0.08</v>
      </c>
      <c r="E14" s="62">
        <v>0.04</v>
      </c>
      <c r="F14" s="62">
        <v>0.09</v>
      </c>
      <c r="G14" s="62">
        <v>0.11</v>
      </c>
      <c r="H14" s="62">
        <v>0.02</v>
      </c>
      <c r="I14" s="62">
        <v>0.11</v>
      </c>
      <c r="J14" s="111"/>
      <c r="K14" s="21">
        <f>(F14-$C$14)/$C$14</f>
        <v>-0.10000000000000009</v>
      </c>
      <c r="L14" s="21">
        <f>(G14-$C$14)/$C$14</f>
        <v>9.999999999999995E-2</v>
      </c>
      <c r="M14" s="63">
        <f>(-0.013333*D2)+26.833333</f>
        <v>-0.23265699999999967</v>
      </c>
      <c r="N14" s="63">
        <f>(0.055*D2)-111</f>
        <v>0.65000000000000568</v>
      </c>
      <c r="O14" s="21">
        <f>(H14-$E$14)/$E$14</f>
        <v>-0.5</v>
      </c>
      <c r="P14" s="21">
        <f>(I14-$E$14)/$E$14</f>
        <v>1.7500000000000002</v>
      </c>
      <c r="Q14" s="23"/>
      <c r="R14" s="57">
        <v>2020</v>
      </c>
      <c r="S14" s="60">
        <f>K15</f>
        <v>-0.16666666666666671</v>
      </c>
      <c r="T14" s="60">
        <f>L15</f>
        <v>0</v>
      </c>
      <c r="U14" s="57">
        <v>2020</v>
      </c>
      <c r="V14" s="60">
        <f>K16</f>
        <v>-0.8</v>
      </c>
      <c r="W14" s="60">
        <f>L16</f>
        <v>1.7999999999999998</v>
      </c>
      <c r="X14" s="57">
        <v>2020</v>
      </c>
      <c r="Y14" s="60">
        <f>K17</f>
        <v>-0.31034482758620691</v>
      </c>
      <c r="Z14" s="60">
        <f>L17</f>
        <v>0.11637931034482757</v>
      </c>
      <c r="AA14" s="104"/>
    </row>
    <row r="15" spans="1:27" ht="20.100000000000001" customHeight="1" x14ac:dyDescent="0.35">
      <c r="A15" s="20" t="s">
        <v>185</v>
      </c>
      <c r="B15" s="26" t="s">
        <v>128</v>
      </c>
      <c r="C15" s="62">
        <v>0.54</v>
      </c>
      <c r="D15" s="62">
        <v>0.54</v>
      </c>
      <c r="E15" s="62">
        <v>0.54</v>
      </c>
      <c r="F15" s="62">
        <v>0.45</v>
      </c>
      <c r="G15" s="62">
        <v>0.54</v>
      </c>
      <c r="H15" s="62">
        <v>0.4</v>
      </c>
      <c r="I15" s="62">
        <v>0.54</v>
      </c>
      <c r="J15" s="111"/>
      <c r="K15" s="21">
        <f>(F15-$C$15)/$C$15</f>
        <v>-0.16666666666666671</v>
      </c>
      <c r="L15" s="21">
        <f>(G15-$C$15)/$C$15</f>
        <v>0</v>
      </c>
      <c r="M15" s="63">
        <f>(-0.003086*D2)+6.067901</f>
        <v>-0.19667900000000049</v>
      </c>
      <c r="N15" s="63">
        <f>L15</f>
        <v>0</v>
      </c>
      <c r="O15" s="21">
        <f>(H15-$E$15)/$E$15</f>
        <v>-0.25925925925925924</v>
      </c>
      <c r="P15" s="21">
        <f>(I15-$E$15)/$E$15</f>
        <v>0</v>
      </c>
      <c r="Q15" s="23"/>
      <c r="R15" s="57">
        <v>2050</v>
      </c>
      <c r="S15" s="60">
        <f>O15</f>
        <v>-0.25925925925925924</v>
      </c>
      <c r="T15" s="60">
        <f>P15</f>
        <v>0</v>
      </c>
      <c r="U15" s="57">
        <v>2050</v>
      </c>
      <c r="V15" s="60">
        <f>O16</f>
        <v>-0.8125</v>
      </c>
      <c r="W15" s="60">
        <f>P16</f>
        <v>0.56249999999999989</v>
      </c>
      <c r="X15" s="57">
        <v>2050</v>
      </c>
      <c r="Y15" s="60">
        <f>O17</f>
        <v>-0.38666666666666666</v>
      </c>
      <c r="Z15" s="60">
        <f>P17</f>
        <v>1.3466666666666667</v>
      </c>
      <c r="AA15" s="104"/>
    </row>
    <row r="16" spans="1:27" ht="20.100000000000001" customHeight="1" x14ac:dyDescent="0.35">
      <c r="A16" s="20" t="s">
        <v>196</v>
      </c>
      <c r="B16" s="26" t="s">
        <v>129</v>
      </c>
      <c r="C16" s="62">
        <v>2</v>
      </c>
      <c r="D16" s="62">
        <v>1.8</v>
      </c>
      <c r="E16" s="62">
        <v>1.6</v>
      </c>
      <c r="F16" s="62">
        <v>0.4</v>
      </c>
      <c r="G16" s="62">
        <v>5.6</v>
      </c>
      <c r="H16" s="62">
        <v>0.3</v>
      </c>
      <c r="I16" s="62">
        <v>2.5</v>
      </c>
      <c r="J16" s="111"/>
      <c r="K16" s="21">
        <f>(F16-$C$16)/$C$16</f>
        <v>-0.8</v>
      </c>
      <c r="L16" s="21">
        <f>(G16-$C$16)/$C$16</f>
        <v>1.7999999999999998</v>
      </c>
      <c r="M16" s="63">
        <f>(-0.000417*D2)+0.041667</f>
        <v>-0.80484299999999998</v>
      </c>
      <c r="N16" s="63">
        <f>(-0.04125*D2)+85.125</f>
        <v>1.3875000000000028</v>
      </c>
      <c r="O16" s="21">
        <f>(H16-$E$16)/$E$16</f>
        <v>-0.8125</v>
      </c>
      <c r="P16" s="21">
        <f>(I16-$E$16)/$E$16</f>
        <v>0.56249999999999989</v>
      </c>
      <c r="Q16" s="23"/>
      <c r="R16" s="57" t="s">
        <v>5</v>
      </c>
      <c r="S16" s="57" t="s">
        <v>6</v>
      </c>
      <c r="T16" s="57" t="s">
        <v>7</v>
      </c>
      <c r="U16" s="57" t="s">
        <v>5</v>
      </c>
      <c r="V16" s="57" t="s">
        <v>6</v>
      </c>
      <c r="W16" s="57" t="s">
        <v>7</v>
      </c>
      <c r="X16" s="57" t="s">
        <v>5</v>
      </c>
      <c r="Y16" s="57" t="s">
        <v>6</v>
      </c>
      <c r="Z16" s="57" t="s">
        <v>7</v>
      </c>
      <c r="AA16" s="104"/>
    </row>
    <row r="17" spans="1:27" ht="20.100000000000001" customHeight="1" x14ac:dyDescent="0.35">
      <c r="A17" s="20" t="s">
        <v>197</v>
      </c>
      <c r="B17" s="26" t="s">
        <v>130</v>
      </c>
      <c r="C17" s="62">
        <v>0.23200000000000001</v>
      </c>
      <c r="D17" s="62">
        <v>0.14199999999999999</v>
      </c>
      <c r="E17" s="62">
        <v>7.4999999999999997E-2</v>
      </c>
      <c r="F17" s="62">
        <v>0.16</v>
      </c>
      <c r="G17" s="62">
        <v>0.25900000000000001</v>
      </c>
      <c r="H17" s="62">
        <v>4.5999999999999999E-2</v>
      </c>
      <c r="I17" s="62">
        <v>0.17599999999999999</v>
      </c>
      <c r="J17" s="111"/>
      <c r="K17" s="21">
        <f>(F17-$C$17)/$C$17</f>
        <v>-0.31034482758620691</v>
      </c>
      <c r="L17" s="21">
        <f>(G17-$C$17)/$C$17</f>
        <v>0.11637931034482757</v>
      </c>
      <c r="M17" s="63">
        <f>(-0.002544*D2)+4.828659</f>
        <v>-0.33566099999999999</v>
      </c>
      <c r="N17" s="63">
        <f>(0.04101*D2)-82.722969</f>
        <v>0.52733099999998956</v>
      </c>
      <c r="O17" s="21">
        <f>(H17-$E$17)/$E$17</f>
        <v>-0.38666666666666666</v>
      </c>
      <c r="P17" s="21">
        <f>(I17-$E$17)/$E$17</f>
        <v>1.3466666666666667</v>
      </c>
      <c r="Q17" s="23"/>
      <c r="R17" s="57">
        <v>2020</v>
      </c>
      <c r="S17" s="60">
        <f>K18</f>
        <v>-0.1111111111111112</v>
      </c>
      <c r="T17" s="60">
        <f>L18</f>
        <v>0.88888888888888884</v>
      </c>
      <c r="U17" s="57">
        <v>2020</v>
      </c>
      <c r="V17" s="60">
        <f>K19</f>
        <v>-0.15151515151515146</v>
      </c>
      <c r="W17" s="60">
        <f>L19</f>
        <v>0.75757575757575735</v>
      </c>
      <c r="X17" s="57">
        <v>2020</v>
      </c>
      <c r="Y17" s="60">
        <f>K20</f>
        <v>-0.2857142857142857</v>
      </c>
      <c r="Z17" s="60">
        <f>L20</f>
        <v>0.14285714285714285</v>
      </c>
      <c r="AA17" s="104"/>
    </row>
    <row r="18" spans="1:27" ht="20.100000000000001" customHeight="1" x14ac:dyDescent="0.35">
      <c r="A18" s="20" t="s">
        <v>198</v>
      </c>
      <c r="B18" s="26" t="s">
        <v>131</v>
      </c>
      <c r="C18" s="62">
        <v>0.27</v>
      </c>
      <c r="D18" s="62">
        <v>0.16</v>
      </c>
      <c r="E18" s="62">
        <v>0.06</v>
      </c>
      <c r="F18" s="62">
        <v>0.24</v>
      </c>
      <c r="G18" s="62">
        <v>0.51</v>
      </c>
      <c r="H18" s="62">
        <v>0.04</v>
      </c>
      <c r="I18" s="62">
        <v>0.25</v>
      </c>
      <c r="J18" s="111"/>
      <c r="K18" s="21">
        <f>(F18-$C$18)/$C$18</f>
        <v>-0.1111111111111112</v>
      </c>
      <c r="L18" s="21">
        <f>(G18-$C$18)/$C$18</f>
        <v>0.88888888888888884</v>
      </c>
      <c r="M18" s="63">
        <f>(-0.007407*D2)+14.851852</f>
        <v>-0.18435800000000135</v>
      </c>
      <c r="N18" s="63">
        <f>(0.075926*D2)-152.481481</f>
        <v>1.6482989999999802</v>
      </c>
      <c r="O18" s="21">
        <f>(H18-$E$18)/$E$18</f>
        <v>-0.33333333333333331</v>
      </c>
      <c r="P18" s="21">
        <f>(I18-$E$18)/$E$18</f>
        <v>3.166666666666667</v>
      </c>
      <c r="Q18" s="23"/>
      <c r="R18" s="57">
        <v>2050</v>
      </c>
      <c r="S18" s="60">
        <f>O18</f>
        <v>-0.33333333333333331</v>
      </c>
      <c r="T18" s="60">
        <f>P18</f>
        <v>3.166666666666667</v>
      </c>
      <c r="U18" s="57">
        <v>2050</v>
      </c>
      <c r="V18" s="60">
        <f>O19</f>
        <v>-0.375</v>
      </c>
      <c r="W18" s="60">
        <f>P19</f>
        <v>2.8749999999999996</v>
      </c>
      <c r="X18" s="57">
        <v>2050</v>
      </c>
      <c r="Y18" s="60">
        <f>O20</f>
        <v>-0.6</v>
      </c>
      <c r="Z18" s="60">
        <f>P20</f>
        <v>0.4</v>
      </c>
      <c r="AA18" s="104"/>
    </row>
    <row r="19" spans="1:27" ht="20.100000000000001" customHeight="1" x14ac:dyDescent="0.35">
      <c r="A19" s="20" t="s">
        <v>199</v>
      </c>
      <c r="B19" s="26" t="s">
        <v>132</v>
      </c>
      <c r="C19" s="62">
        <v>0.33</v>
      </c>
      <c r="D19" s="62">
        <v>0.2</v>
      </c>
      <c r="E19" s="62">
        <v>0.08</v>
      </c>
      <c r="F19" s="62">
        <v>0.28000000000000003</v>
      </c>
      <c r="G19" s="62">
        <v>0.57999999999999996</v>
      </c>
      <c r="H19" s="62">
        <v>0.05</v>
      </c>
      <c r="I19" s="62">
        <v>0.31</v>
      </c>
      <c r="J19" s="111"/>
      <c r="K19" s="21">
        <f>(F19-$C$19)/$C$19</f>
        <v>-0.15151515151515146</v>
      </c>
      <c r="L19" s="21">
        <f>(G19-$C$19)/$C$19</f>
        <v>0.75757575757575735</v>
      </c>
      <c r="M19" s="63">
        <f>(-0.007449*D2)+14.896465</f>
        <v>-0.22500500000000123</v>
      </c>
      <c r="N19" s="63">
        <f>(0.070581*D2)-141.815657</f>
        <v>1.4637730000000317</v>
      </c>
      <c r="O19" s="21">
        <f>(H19-$E$19)/$E$19</f>
        <v>-0.375</v>
      </c>
      <c r="P19" s="21">
        <f>(I19-$E$19)/$E$19</f>
        <v>2.8749999999999996</v>
      </c>
      <c r="Q19" s="23"/>
      <c r="R19" s="57" t="s">
        <v>5</v>
      </c>
      <c r="S19" s="57" t="s">
        <v>6</v>
      </c>
      <c r="T19" s="57" t="s">
        <v>7</v>
      </c>
      <c r="U19" s="57" t="s">
        <v>5</v>
      </c>
      <c r="V19" s="57" t="s">
        <v>6</v>
      </c>
      <c r="W19" s="57" t="s">
        <v>7</v>
      </c>
      <c r="X19" s="64"/>
      <c r="Y19" s="64"/>
      <c r="Z19" s="64"/>
      <c r="AA19" s="104"/>
    </row>
    <row r="20" spans="1:27" ht="20.100000000000001" customHeight="1" x14ac:dyDescent="0.35">
      <c r="A20" s="20" t="s">
        <v>12</v>
      </c>
      <c r="B20" s="26" t="s">
        <v>133</v>
      </c>
      <c r="C20" s="62">
        <v>14000</v>
      </c>
      <c r="D20" s="62">
        <v>30000</v>
      </c>
      <c r="E20" s="62">
        <v>50000</v>
      </c>
      <c r="F20" s="62">
        <v>10000</v>
      </c>
      <c r="G20" s="62">
        <v>16000</v>
      </c>
      <c r="H20" s="62">
        <v>20000</v>
      </c>
      <c r="I20" s="62">
        <v>70000</v>
      </c>
      <c r="J20" s="111"/>
      <c r="K20" s="21">
        <f>(F20-$C$20)/$C$20</f>
        <v>-0.2857142857142857</v>
      </c>
      <c r="L20" s="21">
        <f>(G20-$C$20)/$C$20</f>
        <v>0.14285714285714285</v>
      </c>
      <c r="M20" s="63">
        <f>(-0.010476*D2)+20.87619</f>
        <v>-0.39008999999999716</v>
      </c>
      <c r="N20" s="63">
        <f>(0.008571*D2)-17.171429</f>
        <v>0.22770099999999971</v>
      </c>
      <c r="O20" s="21">
        <f>(H20-$E$20)/$E$20</f>
        <v>-0.6</v>
      </c>
      <c r="P20" s="21">
        <f>(I20-$E$20)/$E$20</f>
        <v>0.4</v>
      </c>
      <c r="Q20" s="23"/>
      <c r="R20" s="57">
        <v>2020</v>
      </c>
      <c r="S20" s="60">
        <f>K21</f>
        <v>-7.6190476190476197E-2</v>
      </c>
      <c r="T20" s="60">
        <f>L21</f>
        <v>0.33333333333333331</v>
      </c>
      <c r="U20" s="57">
        <v>2020</v>
      </c>
      <c r="V20" s="60">
        <f>K22</f>
        <v>-6.9230769230769235E-2</v>
      </c>
      <c r="W20" s="60">
        <f>L22</f>
        <v>0.53846153846153844</v>
      </c>
      <c r="X20" s="65"/>
      <c r="Y20" s="65"/>
      <c r="Z20" s="65"/>
      <c r="AA20" s="104"/>
    </row>
    <row r="21" spans="1:27" ht="20.100000000000001" customHeight="1" x14ac:dyDescent="0.35">
      <c r="A21" s="20" t="s">
        <v>200</v>
      </c>
      <c r="B21" s="26" t="s">
        <v>134</v>
      </c>
      <c r="C21" s="62">
        <v>105</v>
      </c>
      <c r="D21" s="62">
        <v>139</v>
      </c>
      <c r="E21" s="62">
        <v>209</v>
      </c>
      <c r="F21" s="62">
        <v>97</v>
      </c>
      <c r="G21" s="62">
        <v>140</v>
      </c>
      <c r="H21" s="62">
        <v>150</v>
      </c>
      <c r="I21" s="62">
        <v>300</v>
      </c>
      <c r="J21" s="111"/>
      <c r="K21" s="21">
        <f>(F21-$C$21)/$C$21</f>
        <v>-7.6190476190476197E-2</v>
      </c>
      <c r="L21" s="21">
        <f>(G21-$C$21)/$C$21</f>
        <v>0.33333333333333331</v>
      </c>
      <c r="M21" s="63">
        <f>(-0.00687*D2)+13.801625</f>
        <v>-0.14447500000000169</v>
      </c>
      <c r="N21" s="63">
        <f>(0.003402*D2)-6.539607</f>
        <v>0.36645299999999992</v>
      </c>
      <c r="O21" s="21">
        <f>(H21-$E$21)/$E$21</f>
        <v>-0.28229665071770332</v>
      </c>
      <c r="P21" s="21">
        <f>(I21-$E$21)/$E$21</f>
        <v>0.4354066985645933</v>
      </c>
      <c r="Q21" s="23"/>
      <c r="R21" s="57">
        <v>2050</v>
      </c>
      <c r="S21" s="60">
        <f>O21</f>
        <v>-0.28229665071770332</v>
      </c>
      <c r="T21" s="60">
        <f>P21</f>
        <v>0.4354066985645933</v>
      </c>
      <c r="U21" s="57">
        <v>2050</v>
      </c>
      <c r="V21" s="60">
        <f>O22</f>
        <v>-0.33461538461538459</v>
      </c>
      <c r="W21" s="60">
        <f>P22</f>
        <v>0.53846153846153844</v>
      </c>
      <c r="X21" s="65"/>
      <c r="Y21" s="65"/>
      <c r="Z21" s="65"/>
      <c r="AA21" s="104"/>
    </row>
    <row r="22" spans="1:27" ht="20.100000000000001" customHeight="1" x14ac:dyDescent="0.35">
      <c r="A22" s="20" t="s">
        <v>201</v>
      </c>
      <c r="B22" s="26" t="s">
        <v>135</v>
      </c>
      <c r="C22" s="66">
        <v>130</v>
      </c>
      <c r="D22" s="66">
        <v>173</v>
      </c>
      <c r="E22" s="66">
        <v>260</v>
      </c>
      <c r="F22" s="62">
        <v>121</v>
      </c>
      <c r="G22" s="62">
        <v>200</v>
      </c>
      <c r="H22" s="62">
        <v>173</v>
      </c>
      <c r="I22" s="62">
        <v>400</v>
      </c>
      <c r="J22" s="111"/>
      <c r="K22" s="21">
        <f>(F22-$C$22)/$C$22</f>
        <v>-6.9230769230769235E-2</v>
      </c>
      <c r="L22" s="21">
        <f>(G22-$C$22)/$C$22</f>
        <v>0.53846153846153844</v>
      </c>
      <c r="M22" s="63">
        <f>(-0.008846*D2)+17.8</f>
        <v>-0.15737999999999985</v>
      </c>
      <c r="N22" s="63">
        <f>L22</f>
        <v>0.53846153846153844</v>
      </c>
      <c r="O22" s="21">
        <f>(H22-$E$22)/$E$22</f>
        <v>-0.33461538461538459</v>
      </c>
      <c r="P22" s="21">
        <f>(I22-$E$22)/$E$22</f>
        <v>0.53846153846153844</v>
      </c>
      <c r="Q22" s="23"/>
      <c r="R22" s="65"/>
      <c r="S22" s="65"/>
      <c r="T22" s="65"/>
      <c r="U22" s="67"/>
      <c r="V22" s="67"/>
      <c r="W22" s="67"/>
      <c r="X22" s="67"/>
      <c r="Y22" s="67"/>
      <c r="Z22" s="67"/>
      <c r="AA22" s="105"/>
    </row>
    <row r="23" spans="1:27" x14ac:dyDescent="0.35">
      <c r="A23" s="33"/>
      <c r="B23" s="68"/>
      <c r="M23" s="69"/>
      <c r="N23" s="69"/>
      <c r="AA23" s="70"/>
    </row>
    <row r="24" spans="1:27" ht="49.5" customHeight="1" x14ac:dyDescent="0.35">
      <c r="A24" s="33"/>
      <c r="B24" s="68"/>
      <c r="L24" s="71"/>
      <c r="M24" s="72"/>
      <c r="N24" s="72"/>
      <c r="O24" s="72"/>
      <c r="P24" s="72"/>
      <c r="Q24" s="72"/>
      <c r="R24" s="54"/>
      <c r="S24" s="73"/>
      <c r="T24" s="73"/>
      <c r="U24" s="73"/>
      <c r="V24" s="73"/>
      <c r="W24" s="73"/>
      <c r="X24" s="73"/>
      <c r="Y24" s="73"/>
      <c r="Z24" s="73"/>
      <c r="AA24" s="53"/>
    </row>
    <row r="25" spans="1:27" x14ac:dyDescent="0.35">
      <c r="A25" s="20"/>
      <c r="B25" s="106" t="s">
        <v>114</v>
      </c>
      <c r="C25" s="106"/>
      <c r="D25" s="106"/>
      <c r="E25" s="106"/>
      <c r="F25" s="106"/>
      <c r="G25" s="106"/>
      <c r="H25" s="106"/>
      <c r="I25" s="106"/>
      <c r="M25" s="69"/>
      <c r="N25" s="69"/>
    </row>
    <row r="26" spans="1:27" ht="24.95" customHeight="1" x14ac:dyDescent="0.35">
      <c r="A26" s="20" t="s">
        <v>202</v>
      </c>
      <c r="B26" s="110" t="s">
        <v>138</v>
      </c>
      <c r="C26" s="110"/>
      <c r="D26" s="110"/>
      <c r="E26" s="110"/>
      <c r="F26" s="110"/>
      <c r="G26" s="110"/>
      <c r="H26" s="110"/>
      <c r="I26" s="110"/>
      <c r="M26" s="69"/>
      <c r="N26" s="69"/>
    </row>
    <row r="27" spans="1:27" ht="24.95" customHeight="1" x14ac:dyDescent="0.35">
      <c r="A27" s="20" t="s">
        <v>203</v>
      </c>
      <c r="B27" s="110"/>
      <c r="C27" s="110"/>
      <c r="D27" s="110"/>
      <c r="E27" s="110"/>
      <c r="F27" s="110"/>
      <c r="G27" s="110"/>
      <c r="H27" s="110"/>
      <c r="I27" s="110"/>
      <c r="M27" s="69"/>
      <c r="N27" s="69"/>
    </row>
    <row r="28" spans="1:27" ht="68.25" customHeight="1" x14ac:dyDescent="0.35">
      <c r="A28" s="20" t="s">
        <v>190</v>
      </c>
      <c r="B28" s="107" t="s">
        <v>206</v>
      </c>
      <c r="C28" s="108"/>
      <c r="D28" s="108"/>
      <c r="E28" s="108"/>
      <c r="F28" s="108"/>
      <c r="G28" s="108"/>
      <c r="H28" s="108"/>
      <c r="I28" s="109"/>
      <c r="J28" s="74"/>
      <c r="K28" s="75"/>
      <c r="L28" s="75"/>
      <c r="M28" s="75"/>
      <c r="N28" s="69"/>
    </row>
    <row r="29" spans="1:27" ht="72.75" customHeight="1" x14ac:dyDescent="0.35">
      <c r="A29" s="20" t="s">
        <v>204</v>
      </c>
      <c r="B29" s="107" t="s">
        <v>207</v>
      </c>
      <c r="C29" s="108"/>
      <c r="D29" s="108"/>
      <c r="E29" s="108"/>
      <c r="F29" s="108"/>
      <c r="G29" s="108"/>
      <c r="H29" s="108"/>
      <c r="I29" s="109"/>
      <c r="J29" s="76"/>
      <c r="K29" s="75"/>
      <c r="L29" s="75"/>
      <c r="M29" s="75"/>
      <c r="N29" s="69"/>
    </row>
    <row r="30" spans="1:27" x14ac:dyDescent="0.35">
      <c r="A30" s="68"/>
      <c r="B30" s="68"/>
      <c r="M30" s="69"/>
      <c r="N30" s="69"/>
    </row>
    <row r="31" spans="1:27" x14ac:dyDescent="0.35">
      <c r="A31" s="68"/>
      <c r="B31" s="68"/>
      <c r="M31" s="69"/>
      <c r="N31" s="69"/>
    </row>
    <row r="32" spans="1:27" s="12" customFormat="1" ht="15" x14ac:dyDescent="0.3">
      <c r="A32" s="12">
        <v>1</v>
      </c>
      <c r="B32" s="12" t="s">
        <v>74</v>
      </c>
      <c r="M32" s="18"/>
      <c r="N32" s="18"/>
    </row>
    <row r="33" spans="1:14" s="12" customFormat="1" ht="15" x14ac:dyDescent="0.3">
      <c r="A33" s="12">
        <v>2</v>
      </c>
      <c r="B33" s="12" t="s">
        <v>75</v>
      </c>
      <c r="M33" s="18"/>
      <c r="N33" s="18"/>
    </row>
    <row r="34" spans="1:14" s="12" customFormat="1" ht="15" x14ac:dyDescent="0.3">
      <c r="A34" s="12">
        <v>3</v>
      </c>
      <c r="B34" s="12" t="s">
        <v>76</v>
      </c>
      <c r="M34" s="18"/>
      <c r="N34" s="18"/>
    </row>
    <row r="35" spans="1:14" s="12" customFormat="1" ht="15" x14ac:dyDescent="0.3">
      <c r="A35" s="12">
        <v>4</v>
      </c>
      <c r="B35" s="12" t="s">
        <v>77</v>
      </c>
      <c r="M35" s="18"/>
      <c r="N35" s="18"/>
    </row>
    <row r="36" spans="1:14" s="12" customFormat="1" ht="15" x14ac:dyDescent="0.3">
      <c r="A36" s="12">
        <v>5</v>
      </c>
      <c r="B36" s="12" t="s">
        <v>78</v>
      </c>
      <c r="M36" s="18"/>
      <c r="N36" s="18"/>
    </row>
    <row r="37" spans="1:14" s="12" customFormat="1" ht="15" x14ac:dyDescent="0.3">
      <c r="A37" s="12">
        <v>6</v>
      </c>
      <c r="B37" s="12" t="s">
        <v>79</v>
      </c>
      <c r="M37" s="18"/>
      <c r="N37" s="18"/>
    </row>
    <row r="38" spans="1:14" s="12" customFormat="1" ht="15" x14ac:dyDescent="0.3">
      <c r="A38" s="12">
        <v>7</v>
      </c>
      <c r="B38" s="12" t="s">
        <v>80</v>
      </c>
    </row>
    <row r="39" spans="1:14" s="12" customFormat="1" ht="15" x14ac:dyDescent="0.3">
      <c r="A39" s="12">
        <v>8</v>
      </c>
      <c r="B39" s="12" t="s">
        <v>81</v>
      </c>
    </row>
    <row r="40" spans="1:14" s="12" customFormat="1" ht="15" x14ac:dyDescent="0.3">
      <c r="A40" s="12">
        <v>9</v>
      </c>
      <c r="B40" s="12" t="s">
        <v>82</v>
      </c>
    </row>
    <row r="41" spans="1:14" s="12" customFormat="1" ht="15" x14ac:dyDescent="0.3">
      <c r="A41" s="12">
        <v>10</v>
      </c>
      <c r="B41" s="12" t="s">
        <v>83</v>
      </c>
    </row>
    <row r="42" spans="1:14" s="12" customFormat="1" ht="15" x14ac:dyDescent="0.3">
      <c r="A42" s="12">
        <v>11</v>
      </c>
      <c r="B42" s="12" t="s">
        <v>84</v>
      </c>
    </row>
    <row r="43" spans="1:14" s="12" customFormat="1" ht="15" x14ac:dyDescent="0.3">
      <c r="A43" s="12">
        <v>12</v>
      </c>
      <c r="B43" s="12" t="s">
        <v>85</v>
      </c>
    </row>
    <row r="44" spans="1:14" s="12" customFormat="1" ht="15" x14ac:dyDescent="0.3">
      <c r="A44" s="12">
        <v>13</v>
      </c>
      <c r="B44" s="12" t="s">
        <v>86</v>
      </c>
    </row>
    <row r="45" spans="1:14" s="12" customFormat="1" ht="15" x14ac:dyDescent="0.3">
      <c r="A45" s="12">
        <v>14</v>
      </c>
      <c r="B45" s="12" t="s">
        <v>87</v>
      </c>
    </row>
    <row r="46" spans="1:14" s="12" customFormat="1" ht="15" x14ac:dyDescent="0.3">
      <c r="A46" s="12">
        <v>15</v>
      </c>
      <c r="B46" s="12" t="s">
        <v>88</v>
      </c>
    </row>
    <row r="47" spans="1:14" s="12" customFormat="1" ht="15" x14ac:dyDescent="0.3">
      <c r="A47" s="12">
        <v>16</v>
      </c>
      <c r="B47" s="12" t="s">
        <v>89</v>
      </c>
    </row>
    <row r="48" spans="1:14" s="12" customFormat="1" ht="15" x14ac:dyDescent="0.3">
      <c r="A48" s="12">
        <v>17</v>
      </c>
      <c r="B48" s="12" t="s">
        <v>90</v>
      </c>
    </row>
    <row r="49" spans="1:2" s="12" customFormat="1" ht="15" x14ac:dyDescent="0.3">
      <c r="A49" s="12">
        <v>18</v>
      </c>
      <c r="B49" s="12" t="s">
        <v>91</v>
      </c>
    </row>
    <row r="50" spans="1:2" s="12" customFormat="1" ht="15" x14ac:dyDescent="0.3">
      <c r="A50" s="12">
        <v>19</v>
      </c>
      <c r="B50" s="12" t="s">
        <v>92</v>
      </c>
    </row>
    <row r="51" spans="1:2" s="12" customFormat="1" ht="15" x14ac:dyDescent="0.3">
      <c r="A51" s="12">
        <v>20</v>
      </c>
      <c r="B51" s="12" t="s">
        <v>93</v>
      </c>
    </row>
    <row r="52" spans="1:2" s="12" customFormat="1" ht="15" x14ac:dyDescent="0.3">
      <c r="A52" s="12">
        <v>21</v>
      </c>
      <c r="B52" s="12" t="s">
        <v>94</v>
      </c>
    </row>
    <row r="53" spans="1:2" s="12" customFormat="1" ht="15" x14ac:dyDescent="0.3">
      <c r="A53" s="12">
        <v>22</v>
      </c>
      <c r="B53" s="12" t="s">
        <v>95</v>
      </c>
    </row>
    <row r="54" spans="1:2" s="12" customFormat="1" ht="15" x14ac:dyDescent="0.3">
      <c r="A54" s="12">
        <v>23</v>
      </c>
      <c r="B54" s="12" t="s">
        <v>96</v>
      </c>
    </row>
  </sheetData>
  <mergeCells count="11">
    <mergeCell ref="B28:I28"/>
    <mergeCell ref="B29:I29"/>
    <mergeCell ref="B26:I27"/>
    <mergeCell ref="J3:J22"/>
    <mergeCell ref="B25:I25"/>
    <mergeCell ref="AA2:AA22"/>
    <mergeCell ref="F1:G1"/>
    <mergeCell ref="H1:I1"/>
    <mergeCell ref="K1:L1"/>
    <mergeCell ref="M1:N1"/>
    <mergeCell ref="O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31</vt:i4>
      </vt:variant>
      <vt:variant>
        <vt:lpstr>Rangos con nombre</vt:lpstr>
      </vt:variant>
      <vt:variant>
        <vt:i4>16</vt:i4>
      </vt:variant>
    </vt:vector>
  </HeadingPairs>
  <TitlesOfParts>
    <vt:vector size="50" baseType="lpstr">
      <vt:lpstr>Lithium Ion</vt:lpstr>
      <vt:lpstr>Data</vt:lpstr>
      <vt:lpstr>Uncertanties</vt:lpstr>
      <vt:lpstr>03UES_L</vt:lpstr>
      <vt:lpstr>04UOC_L</vt:lpstr>
      <vt:lpstr>05URT_U</vt:lpstr>
      <vt:lpstr>06URT_L</vt:lpstr>
      <vt:lpstr>07UEL_U</vt:lpstr>
      <vt:lpstr>08UFO_L</vt:lpstr>
      <vt:lpstr>08UFO_U</vt:lpstr>
      <vt:lpstr>09UPO_U</vt:lpstr>
      <vt:lpstr>10UTL_L</vt:lpstr>
      <vt:lpstr>10UTL_U</vt:lpstr>
      <vt:lpstr>11UCT_L</vt:lpstr>
      <vt:lpstr>12UEC_L</vt:lpstr>
      <vt:lpstr>12UEC_U</vt:lpstr>
      <vt:lpstr>13UCC_L</vt:lpstr>
      <vt:lpstr>13UCC_U</vt:lpstr>
      <vt:lpstr>14UOP_L</vt:lpstr>
      <vt:lpstr>14UOP_U</vt:lpstr>
      <vt:lpstr>15UFO_L</vt:lpstr>
      <vt:lpstr>16UVO_L</vt:lpstr>
      <vt:lpstr>16UVO_U</vt:lpstr>
      <vt:lpstr>17UES_L</vt:lpstr>
      <vt:lpstr>17UES_U</vt:lpstr>
      <vt:lpstr>18UOC_L</vt:lpstr>
      <vt:lpstr>18UOC_U</vt:lpstr>
      <vt:lpstr>19UAI_L</vt:lpstr>
      <vt:lpstr>19UAI_U</vt:lpstr>
      <vt:lpstr>20ULT_L</vt:lpstr>
      <vt:lpstr>20ULT_U</vt:lpstr>
      <vt:lpstr>21USE_L</vt:lpstr>
      <vt:lpstr>21USE_U</vt:lpstr>
      <vt:lpstr>22UED_L</vt:lpstr>
      <vt:lpstr>'Lithium Ion'!_Ref528590632</vt:lpstr>
      <vt:lpstr>'Lithium Ion'!_Ref528591471</vt:lpstr>
      <vt:lpstr>'Lithium Ion'!_Ref528591483</vt:lpstr>
      <vt:lpstr>'Lithium Ion'!_Ref528591591</vt:lpstr>
      <vt:lpstr>'Lithium Ion'!_Ref528592058</vt:lpstr>
      <vt:lpstr>'Lithium Ion'!_Ref528592236</vt:lpstr>
      <vt:lpstr>'Lithium Ion'!_Ref528593310</vt:lpstr>
      <vt:lpstr>'Lithium Ion'!_Ref528654609</vt:lpstr>
      <vt:lpstr>'Lithium Ion'!_Ref528667067</vt:lpstr>
      <vt:lpstr>'Lithium Ion'!_Ref528668644</vt:lpstr>
      <vt:lpstr>'Lithium Ion'!_Ref528668946</vt:lpstr>
      <vt:lpstr>'Lithium Ion'!_Ref528669041</vt:lpstr>
      <vt:lpstr>'Lithium Ion'!_Ref528669245</vt:lpstr>
      <vt:lpstr>'Lithium Ion'!_Ref528670685</vt:lpstr>
      <vt:lpstr>'Lithium Ion'!_Ref528918119</vt:lpstr>
      <vt:lpstr>'Lithium Ion'!_Toc528918118</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Ulises</cp:lastModifiedBy>
  <cp:revision/>
  <dcterms:created xsi:type="dcterms:W3CDTF">2020-01-17T11:30:29Z</dcterms:created>
  <dcterms:modified xsi:type="dcterms:W3CDTF">2020-09-01T16:04:29Z</dcterms:modified>
</cp:coreProperties>
</file>